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firstSheet="7" activeTab="27"/>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r:id="rId18"/>
    <sheet name="Item19" sheetId="21" r:id="rId19"/>
    <sheet name="Item20" sheetId="22" r:id="rId20"/>
    <sheet name="Item21" sheetId="24" r:id="rId21"/>
    <sheet name="Item22" sheetId="25" r:id="rId22"/>
    <sheet name="Item23" sheetId="26" r:id="rId23"/>
    <sheet name="Item24" sheetId="27" r:id="rId24"/>
    <sheet name="Item25" sheetId="28" r:id="rId25"/>
    <sheet name="Item26" sheetId="29" state="hidden" r:id="rId26"/>
    <sheet name="Item27" sheetId="30" state="hidden" r:id="rId27"/>
    <sheet name="total" sheetId="23" r:id="rId28"/>
  </sheets>
  <definedNames>
    <definedName name="_xlnm.Print_Area" localSheetId="27">total!$A$1:$G$34</definedName>
    <definedName name="_xlnm.Print_Titles" localSheetId="27">total!$1:$2</definedName>
  </definedNames>
  <calcPr calcId="145621"/>
</workbook>
</file>

<file path=xl/calcChain.xml><?xml version="1.0" encoding="utf-8"?>
<calcChain xmlns="http://schemas.openxmlformats.org/spreadsheetml/2006/main">
  <c r="H6" i="12" l="1"/>
  <c r="H5" i="12"/>
  <c r="H4" i="12"/>
  <c r="H3" i="12"/>
  <c r="H17" i="11"/>
  <c r="H16" i="11"/>
  <c r="H15" i="11"/>
  <c r="H14" i="11"/>
  <c r="H13" i="11"/>
  <c r="H12" i="11"/>
  <c r="H9" i="11"/>
  <c r="H8" i="11"/>
  <c r="H7" i="11"/>
  <c r="H6" i="11"/>
  <c r="H5" i="11"/>
  <c r="H4" i="11"/>
  <c r="H3" i="11"/>
  <c r="H10" i="9"/>
  <c r="H9" i="9"/>
  <c r="H8" i="9"/>
  <c r="H7" i="9"/>
  <c r="H6" i="9"/>
  <c r="H5" i="9"/>
  <c r="H10" i="8"/>
  <c r="H9" i="8"/>
  <c r="H8" i="8"/>
  <c r="H7" i="8"/>
  <c r="H6" i="8"/>
  <c r="H5" i="8"/>
  <c r="H12" i="7"/>
  <c r="H11" i="7"/>
  <c r="H10" i="7"/>
  <c r="H9" i="7"/>
  <c r="H8" i="7"/>
  <c r="H7" i="7"/>
  <c r="H6" i="7"/>
  <c r="H5" i="7"/>
  <c r="H12" i="6"/>
  <c r="H11" i="6"/>
  <c r="H10" i="6"/>
  <c r="H9" i="6"/>
  <c r="H8" i="6"/>
  <c r="H7" i="6"/>
  <c r="H6" i="6"/>
  <c r="H5" i="6"/>
  <c r="H12" i="5"/>
  <c r="H11" i="5"/>
  <c r="H10" i="5"/>
  <c r="H9" i="5"/>
  <c r="H8" i="5"/>
  <c r="H7" i="5"/>
  <c r="H6" i="5"/>
  <c r="H5" i="5"/>
  <c r="H8" i="1"/>
  <c r="H7" i="1"/>
  <c r="H6" i="1"/>
  <c r="H5" i="1"/>
  <c r="H4" i="1"/>
  <c r="H3" i="1"/>
  <c r="F37" i="23" l="1"/>
  <c r="C23" i="23" l="1"/>
  <c r="D23" i="23"/>
  <c r="E23" i="23"/>
  <c r="C24" i="23"/>
  <c r="D24" i="23"/>
  <c r="E24" i="23"/>
  <c r="C25" i="23"/>
  <c r="D25" i="23"/>
  <c r="E25" i="23"/>
  <c r="C26" i="23"/>
  <c r="D26" i="23"/>
  <c r="E26" i="23"/>
  <c r="C27" i="23"/>
  <c r="D27" i="23"/>
  <c r="E27" i="23"/>
  <c r="B27" i="23"/>
  <c r="B26" i="23"/>
  <c r="B25" i="23"/>
  <c r="B24" i="23"/>
  <c r="B23" i="23"/>
  <c r="F20" i="30"/>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32" i="23"/>
  <c r="C4" i="23"/>
  <c r="D4" i="23"/>
  <c r="E4" i="23"/>
  <c r="C5" i="23"/>
  <c r="D5" i="23"/>
  <c r="E5" i="23"/>
  <c r="C6" i="23"/>
  <c r="D6" i="23"/>
  <c r="E6" i="23"/>
  <c r="C7" i="23"/>
  <c r="D7" i="23"/>
  <c r="E7" i="23"/>
  <c r="C8" i="23"/>
  <c r="D8" i="23"/>
  <c r="E8" i="23"/>
  <c r="C9" i="23"/>
  <c r="D9" i="23"/>
  <c r="E9" i="23"/>
  <c r="C10" i="23"/>
  <c r="D10" i="23"/>
  <c r="E10" i="23"/>
  <c r="C11" i="23"/>
  <c r="D11" i="23"/>
  <c r="E11" i="23"/>
  <c r="C12" i="23"/>
  <c r="D12" i="23"/>
  <c r="E12" i="23"/>
  <c r="C13" i="23"/>
  <c r="D13" i="23"/>
  <c r="E13" i="23"/>
  <c r="C14" i="23"/>
  <c r="D14" i="23"/>
  <c r="E14" i="23"/>
  <c r="C15" i="23"/>
  <c r="D15" i="23"/>
  <c r="E15" i="23"/>
  <c r="C16" i="23"/>
  <c r="D16" i="23"/>
  <c r="E16" i="23"/>
  <c r="C17" i="23"/>
  <c r="D17" i="23"/>
  <c r="E17" i="23"/>
  <c r="C18" i="23"/>
  <c r="D18" i="23"/>
  <c r="E18" i="23"/>
  <c r="C19" i="23"/>
  <c r="D19" i="23"/>
  <c r="E19" i="23"/>
  <c r="C20" i="23"/>
  <c r="D20" i="23"/>
  <c r="E20" i="23"/>
  <c r="C21" i="23"/>
  <c r="D21" i="23"/>
  <c r="E21" i="23"/>
  <c r="C22" i="23"/>
  <c r="D22" i="23"/>
  <c r="E22" i="23"/>
  <c r="B22" i="23"/>
  <c r="B21" i="23"/>
  <c r="B20" i="23"/>
  <c r="B19" i="23"/>
  <c r="B18" i="23"/>
  <c r="B17" i="23"/>
  <c r="B16" i="23"/>
  <c r="B15" i="23"/>
  <c r="B14" i="23"/>
  <c r="B13" i="23"/>
  <c r="B12" i="23"/>
  <c r="B11" i="23"/>
  <c r="B10" i="23"/>
  <c r="B9" i="23"/>
  <c r="B8"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s="1"/>
  <c r="F3" i="16"/>
  <c r="H20" i="16" s="1"/>
  <c r="G20" i="16" s="1"/>
  <c r="F20" i="15"/>
  <c r="D20" i="15"/>
  <c r="B20" i="15"/>
  <c r="A20" i="15" s="1"/>
  <c r="F3" i="15"/>
  <c r="H20" i="15" s="1"/>
  <c r="G20" i="15" s="1"/>
  <c r="F20" i="14"/>
  <c r="D20" i="14"/>
  <c r="B20" i="14"/>
  <c r="A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C20" i="14" l="1"/>
  <c r="E20" i="28"/>
  <c r="H22" i="28" s="1"/>
  <c r="H23" i="28" s="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C20" i="6"/>
  <c r="I8" i="6" s="1"/>
  <c r="A20" i="7"/>
  <c r="C20" i="7" s="1"/>
  <c r="I16" i="7" s="1"/>
  <c r="A20" i="8"/>
  <c r="C20" i="8" s="1"/>
  <c r="I4" i="8" s="1"/>
  <c r="E3" i="28"/>
  <c r="F27" i="23" s="1"/>
  <c r="G27" i="23"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17" i="16"/>
  <c r="I11" i="16"/>
  <c r="I10" i="16"/>
  <c r="I15" i="14"/>
  <c r="I9" i="14"/>
  <c r="I3" i="14"/>
  <c r="I16" i="14"/>
  <c r="I14" i="14"/>
  <c r="I8" i="14"/>
  <c r="I10" i="14"/>
  <c r="I13" i="14"/>
  <c r="I7" i="14"/>
  <c r="I12" i="14"/>
  <c r="I6" i="14"/>
  <c r="I17" i="14"/>
  <c r="I11" i="14"/>
  <c r="I5" i="14"/>
  <c r="I4" i="14"/>
  <c r="I15" i="18"/>
  <c r="I9" i="18"/>
  <c r="I3" i="18"/>
  <c r="I14" i="18"/>
  <c r="I8" i="18"/>
  <c r="I10" i="18"/>
  <c r="I13" i="18"/>
  <c r="I7" i="18"/>
  <c r="I16" i="18"/>
  <c r="I12" i="18"/>
  <c r="I17" i="18"/>
  <c r="I11" i="18"/>
  <c r="C20" i="11"/>
  <c r="C20" i="13"/>
  <c r="C20" i="15"/>
  <c r="C20" i="17"/>
  <c r="I15" i="8"/>
  <c r="I9" i="8"/>
  <c r="I14" i="8"/>
  <c r="I8" i="8"/>
  <c r="I7" i="8"/>
  <c r="I12" i="8"/>
  <c r="I13" i="8"/>
  <c r="I17" i="8"/>
  <c r="I11" i="8"/>
  <c r="I16" i="8"/>
  <c r="I10" i="8"/>
  <c r="I16" i="9"/>
  <c r="C20" i="10"/>
  <c r="I13" i="9"/>
  <c r="I9" i="9"/>
  <c r="I15" i="9"/>
  <c r="I15" i="7"/>
  <c r="I17" i="7"/>
  <c r="I3" i="9"/>
  <c r="I5" i="9"/>
  <c r="I11" i="9"/>
  <c r="I17" i="9"/>
  <c r="I15" i="6"/>
  <c r="I3" i="6"/>
  <c r="I14" i="6"/>
  <c r="I7" i="6"/>
  <c r="I17" i="6"/>
  <c r="I16" i="6"/>
  <c r="I12" i="6"/>
  <c r="I6" i="6"/>
  <c r="I5" i="6"/>
  <c r="I12" i="5"/>
  <c r="I17" i="5"/>
  <c r="I16" i="5"/>
  <c r="I8" i="5"/>
  <c r="I13" i="5"/>
  <c r="I15" i="5"/>
  <c r="I14" i="5"/>
  <c r="A20" i="4"/>
  <c r="C20" i="4" s="1"/>
  <c r="C20" i="1"/>
  <c r="E20" i="27" l="1"/>
  <c r="I5" i="18"/>
  <c r="I6" i="16"/>
  <c r="E20" i="14"/>
  <c r="I12" i="9"/>
  <c r="E20" i="9" s="1"/>
  <c r="H22" i="9" s="1"/>
  <c r="H23" i="9" s="1"/>
  <c r="I8" i="9"/>
  <c r="I7" i="9"/>
  <c r="I6" i="9"/>
  <c r="I10" i="9"/>
  <c r="I11" i="5"/>
  <c r="E20" i="24"/>
  <c r="E3" i="24" s="1"/>
  <c r="F23" i="23" s="1"/>
  <c r="G23" i="23" s="1"/>
  <c r="I8" i="20"/>
  <c r="I3" i="20"/>
  <c r="I7" i="20"/>
  <c r="I6" i="20"/>
  <c r="I4" i="20"/>
  <c r="I10" i="20"/>
  <c r="I9" i="20"/>
  <c r="I4" i="18"/>
  <c r="E20" i="18" s="1"/>
  <c r="H22" i="18" s="1"/>
  <c r="H23" i="18" s="1"/>
  <c r="E20" i="16"/>
  <c r="H22" i="16" s="1"/>
  <c r="H23" i="16" s="1"/>
  <c r="I4" i="16"/>
  <c r="I3" i="16"/>
  <c r="I5" i="16"/>
  <c r="I7" i="16"/>
  <c r="I10" i="12"/>
  <c r="I12" i="12"/>
  <c r="I4" i="12"/>
  <c r="I8" i="12"/>
  <c r="I6" i="12"/>
  <c r="I7" i="12"/>
  <c r="I3" i="12"/>
  <c r="I5" i="12"/>
  <c r="I6" i="8"/>
  <c r="I5" i="8"/>
  <c r="E20" i="8" s="1"/>
  <c r="H22" i="8" s="1"/>
  <c r="H23" i="8" s="1"/>
  <c r="I3" i="8"/>
  <c r="I11" i="6"/>
  <c r="I9" i="6"/>
  <c r="I4" i="6"/>
  <c r="I13" i="6"/>
  <c r="I10" i="6"/>
  <c r="I3" i="5"/>
  <c r="I10" i="5"/>
  <c r="I4" i="5"/>
  <c r="I9" i="5"/>
  <c r="I7" i="5"/>
  <c r="I5" i="5"/>
  <c r="E20" i="30"/>
  <c r="E3" i="30" s="1"/>
  <c r="E20" i="29"/>
  <c r="H22" i="29" s="1"/>
  <c r="H23" i="29" s="1"/>
  <c r="E3" i="26"/>
  <c r="F25" i="23" s="1"/>
  <c r="G25" i="23" s="1"/>
  <c r="E20" i="25"/>
  <c r="H22" i="25" s="1"/>
  <c r="H23" i="25" s="1"/>
  <c r="I11" i="22"/>
  <c r="I12" i="22"/>
  <c r="I9" i="22"/>
  <c r="I6" i="22"/>
  <c r="I5" i="22"/>
  <c r="I8" i="22"/>
  <c r="I4" i="22"/>
  <c r="E20" i="22" s="1"/>
  <c r="H22" i="22" s="1"/>
  <c r="H23" i="22" s="1"/>
  <c r="I7" i="22"/>
  <c r="I4" i="9"/>
  <c r="I10" i="7"/>
  <c r="I14" i="7"/>
  <c r="I8" i="7"/>
  <c r="I6" i="7"/>
  <c r="I4" i="7"/>
  <c r="I12" i="7"/>
  <c r="I9" i="7"/>
  <c r="I3" i="7"/>
  <c r="I13" i="7"/>
  <c r="I7" i="7"/>
  <c r="I5" i="7"/>
  <c r="I11" i="7"/>
  <c r="E3" i="27"/>
  <c r="F26" i="23" s="1"/>
  <c r="G26" i="23" s="1"/>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F14" i="23" s="1"/>
  <c r="G14" i="23" s="1"/>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12" l="1"/>
  <c r="E3" i="12" s="1"/>
  <c r="F12" i="23" s="1"/>
  <c r="G12" i="23" s="1"/>
  <c r="E20" i="6"/>
  <c r="H22" i="6" s="1"/>
  <c r="H23" i="6" s="1"/>
  <c r="H22" i="24"/>
  <c r="H23" i="24" s="1"/>
  <c r="E20" i="20"/>
  <c r="H22" i="20" s="1"/>
  <c r="H23" i="20" s="1"/>
  <c r="E3" i="16"/>
  <c r="F16" i="23" s="1"/>
  <c r="G16" i="23" s="1"/>
  <c r="H22" i="12"/>
  <c r="H23" i="12" s="1"/>
  <c r="E3" i="8"/>
  <c r="F8" i="23" s="1"/>
  <c r="G8" i="23" s="1"/>
  <c r="E20" i="5"/>
  <c r="E3" i="5" s="1"/>
  <c r="F5" i="23" s="1"/>
  <c r="G5" i="23" s="1"/>
  <c r="H22" i="30"/>
  <c r="H23" i="30" s="1"/>
  <c r="E3" i="29"/>
  <c r="E3" i="25"/>
  <c r="F24" i="23" s="1"/>
  <c r="G24" i="23" s="1"/>
  <c r="E3" i="22"/>
  <c r="F22" i="23" s="1"/>
  <c r="G22" i="23" s="1"/>
  <c r="E20" i="21"/>
  <c r="H22" i="21" s="1"/>
  <c r="H23" i="21" s="1"/>
  <c r="E20" i="19"/>
  <c r="H22" i="19" s="1"/>
  <c r="H23" i="19" s="1"/>
  <c r="E3" i="18"/>
  <c r="F18" i="23" s="1"/>
  <c r="G18" i="23" s="1"/>
  <c r="E20" i="15"/>
  <c r="H22" i="15" s="1"/>
  <c r="H23" i="15" s="1"/>
  <c r="E20" i="13"/>
  <c r="E3" i="13" s="1"/>
  <c r="F13" i="23" s="1"/>
  <c r="G13" i="23" s="1"/>
  <c r="E20" i="11"/>
  <c r="H22" i="11" s="1"/>
  <c r="H23" i="11" s="1"/>
  <c r="E20" i="10"/>
  <c r="H22" i="10" s="1"/>
  <c r="H23" i="10" s="1"/>
  <c r="E3" i="9"/>
  <c r="F9" i="23" s="1"/>
  <c r="G9" i="23" s="1"/>
  <c r="E20" i="7"/>
  <c r="E20" i="4"/>
  <c r="E3" i="4" s="1"/>
  <c r="F4" i="23" s="1"/>
  <c r="G4" i="23" s="1"/>
  <c r="E20" i="17"/>
  <c r="E20" i="1"/>
  <c r="E3" i="20" l="1"/>
  <c r="F20" i="23" s="1"/>
  <c r="G20" i="23" s="1"/>
  <c r="E3" i="6"/>
  <c r="F6" i="23" s="1"/>
  <c r="G6" i="23" s="1"/>
  <c r="F36" i="23"/>
  <c r="E3" i="21"/>
  <c r="F21" i="23" s="1"/>
  <c r="G21" i="23" s="1"/>
  <c r="E3" i="19"/>
  <c r="F19" i="23" s="1"/>
  <c r="G19" i="23" s="1"/>
  <c r="E3" i="15"/>
  <c r="F15" i="23" s="1"/>
  <c r="G15" i="23" s="1"/>
  <c r="H22" i="13"/>
  <c r="H23" i="13" s="1"/>
  <c r="E3" i="10"/>
  <c r="F10" i="23" s="1"/>
  <c r="G10" i="23" s="1"/>
  <c r="H22" i="5"/>
  <c r="H23" i="5" s="1"/>
  <c r="H22" i="4"/>
  <c r="H23" i="4" s="1"/>
  <c r="E3" i="11"/>
  <c r="F11" i="23" s="1"/>
  <c r="G11" i="23" s="1"/>
  <c r="H22" i="7"/>
  <c r="H23" i="7" s="1"/>
  <c r="E3" i="7"/>
  <c r="F7" i="23" s="1"/>
  <c r="G7" i="23" s="1"/>
  <c r="H22" i="17"/>
  <c r="H23" i="17" s="1"/>
  <c r="E3" i="17"/>
  <c r="F17" i="23" s="1"/>
  <c r="G17" i="23" s="1"/>
  <c r="E3" i="1"/>
  <c r="F3" i="23" s="1"/>
  <c r="G3" i="23" s="1"/>
  <c r="H22" i="1"/>
  <c r="H23" i="1" s="1"/>
  <c r="F35" i="23" l="1"/>
  <c r="F34" i="23"/>
  <c r="F30" i="23"/>
</calcChain>
</file>

<file path=xl/sharedStrings.xml><?xml version="1.0" encoding="utf-8"?>
<sst xmlns="http://schemas.openxmlformats.org/spreadsheetml/2006/main" count="966" uniqueCount="128">
  <si>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</si>
  <si>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</si>
  <si>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</si>
  <si>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</si>
  <si>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</si>
  <si>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</si>
  <si>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</si>
  <si>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</si>
  <si>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</si>
  <si>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</si>
  <si>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</si>
  <si>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</si>
  <si>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</si>
  <si>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</si>
  <si>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</si>
  <si>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</si>
  <si>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</si>
  <si>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</si>
  <si>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</si>
  <si>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</si>
  <si>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</si>
  <si>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</si>
  <si>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</si>
  <si>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</si>
  <si>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</si>
  <si>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</si>
  <si>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</si>
  <si>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</si>
  <si>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</si>
  <si>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</si>
  <si>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</si>
  <si>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</si>
  <si>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</si>
  <si>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</si>
  <si>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</si>
  <si>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</si>
  <si>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</si>
  <si>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CLAVES E NOTAS COMERCIO DE INSTRUMENTOS MUSICAIS LTDA</t>
  </si>
  <si>
    <t>CR3 COMERCIO ELETRONICO LTDA</t>
  </si>
  <si>
    <t>PEDRO G.FERNANDES</t>
  </si>
  <si>
    <t>17.410.769 VALNEIDES ARAUJO DA COSTA</t>
  </si>
  <si>
    <t>32.661.461 ROBSON SALVADOR PAIM</t>
  </si>
  <si>
    <t>ISALTEC COMERCIO DE INSTRUMENTOS DE MEDICAO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</si>
  <si>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</si>
  <si>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</si>
  <si>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</si>
  <si>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</si>
  <si>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</si>
  <si>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</si>
  <si>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</si>
  <si>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</si>
  <si>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MAGAZINE LUIZA</t>
  </si>
  <si>
    <t>AKG</t>
  </si>
  <si>
    <t>X5 MUSIC</t>
  </si>
  <si>
    <t>CASAS BAHIA</t>
  </si>
  <si>
    <t>KALIFA</t>
  </si>
  <si>
    <t>milheiro</t>
  </si>
  <si>
    <t>CARINE POLETTO FONTANA LTDA</t>
  </si>
  <si>
    <t>ARTES GRAFICAS BEREZOVSKI LTDA</t>
  </si>
  <si>
    <t>RB FLEXO LTDA</t>
  </si>
  <si>
    <t>IMPRESSOART EDITORA GRAFICA LTDA</t>
  </si>
  <si>
    <t>VINICIUS RONCAGLIO</t>
  </si>
  <si>
    <t>AYER FELIPE DE FARIA NETO</t>
  </si>
  <si>
    <t>GRÁFICA SANTA BÁRBARA LTDA</t>
  </si>
  <si>
    <t>EGBA - EMPRESA GRÁFICA DA BAHIA</t>
  </si>
  <si>
    <t>DIPLOGRAPH ARTES GRAFICAS EM DIPLOMAS LTDA</t>
  </si>
  <si>
    <t>ACE COMUNICACAO E EDITORA LTDA</t>
  </si>
  <si>
    <t>GRAFICA LIDER LIVRAMENTO LTDA</t>
  </si>
  <si>
    <t>pacote</t>
  </si>
  <si>
    <t>G. S. SILVEIRA LTDA</t>
  </si>
  <si>
    <t>CIPRIANI &amp; CIPRIANI LTDA.</t>
  </si>
  <si>
    <t>OPERA SOLUCOES E GESTAO EMPRESARIAL LTDA</t>
  </si>
  <si>
    <t>AVOHAI EVENTOS LTDA</t>
  </si>
  <si>
    <t>GRAFICA IMPRESSUS LTDA</t>
  </si>
  <si>
    <t>MULT GRAF INDUSTRIA GRAFICA, EDITORA E COMERCIO LTDA</t>
  </si>
  <si>
    <t>S. L. DE CASTRO LTDA</t>
  </si>
  <si>
    <t>TEIXEIRA IMPRESSAO DIGITAL E SOLUCOES GRAFICAS LTDA</t>
  </si>
  <si>
    <t>Cédula de votação – Contingência Consulta Popular (se houver) ou Eleições Suplementares (se houver)
Gramatura: 75g/m2.
Especificação: papel opaco e uma única cor, que pode ser CINZA, VERDE, ROSA ou AZUL, conforme se trate de consulta popular de abrangência federal, estadual ou municipal, ou eleições suplementares, respectivamente,  com impressão em preto e branco - frente/verso, dimensões: altura de 84 mm x largura 191 mm (largura após a dobra de 84 mm), conforme modelo.
Embalagem: pacote com 500 cédulas, embaladas em plástico transparente.
PCT = pacote</t>
  </si>
  <si>
    <t>CIPRIANI &amp; CIPRIANI LTDA</t>
  </si>
  <si>
    <t>VTPRINT OUTDOOR E GRAFICA LTDA</t>
  </si>
  <si>
    <t>folha</t>
  </si>
  <si>
    <t>S A PRODUCOES E SERVICOS LTDA</t>
  </si>
  <si>
    <t>GENSA - GRAFICA E EDITORA NOSSA SENHORA APARECIDA LTDA</t>
  </si>
  <si>
    <t>SEIKE &amp; MONTEIRO LTDA</t>
  </si>
  <si>
    <t>ARW EDITORA GRAFICA LTDA</t>
  </si>
  <si>
    <t>G.M DE BARROS EIRELI</t>
  </si>
  <si>
    <t>CSS EDITORA GRAFICA - EIRELI</t>
  </si>
  <si>
    <t>TGM GRAFICA E EDITORA EIRELI</t>
  </si>
  <si>
    <t>LM SERVGRAFICA E COPIADORA LTDA</t>
  </si>
  <si>
    <t>RICARDO GOMES DA SILVA</t>
  </si>
  <si>
    <t>GRAFICA LIVRAMENTO LTDA</t>
  </si>
  <si>
    <t>ODIMILSOM ALVES PEREIRA</t>
  </si>
  <si>
    <t>A G DO NASCIMENTO GRAFICA</t>
  </si>
  <si>
    <t>IN PRIME COMERCIO E SERVICOS LTDA</t>
  </si>
  <si>
    <t>bloco</t>
  </si>
  <si>
    <t>CURTOLO &amp; CURTOLO GRAFICA LTDA</t>
  </si>
  <si>
    <t>WILSON DE PAULA LICO-IPUA</t>
  </si>
  <si>
    <t>NORTE INDUSTRIA GRAFICA LTDA</t>
  </si>
  <si>
    <t>GRAFICA MAGNIFICO LTDA</t>
  </si>
  <si>
    <t xml:space="preserve"> SA PRODUCOES E SERVICOS LTDA</t>
  </si>
  <si>
    <t>cartela</t>
  </si>
  <si>
    <t>SA PRODUCOES E SERVICOS LTDA</t>
  </si>
  <si>
    <t>E-LABEL ETIQUETAS E ROTULOS ADESIVOS LTDA</t>
  </si>
  <si>
    <t>ADLX SOLUÇÕES LTDA</t>
  </si>
  <si>
    <t>Cartilha para Mesários
Papel capa e miolo: AP 75g/m²
Total estimado de páginas (capa e miolo): até 36 (trinta e seis) páginas
Formato fechado: A4
Formato aberto: A3
Acabamento: com grampos
Padrão de cor: 4/4 (CMYK)
Embalagem: em caixas de papelão resistentes, com capacidade máxima de 30 (trinta) quilogramas.
MLH = milheiro</t>
  </si>
  <si>
    <t xml:space="preserve">Diploma
Dimensões: 350 mm X 245 mm
Lâminas em 4 X 0 cores em Opaline 180 g </t>
  </si>
  <si>
    <t xml:space="preserve">Cédula de votação – Prefeito
Gramatura: 75g/m2.
Especificação: papel opaco na cor AMARELA com impressão em preto e branco - frente/verso, dimensões: altura de 84 mm x largura 191 mm (largura após a dobra de 84 mm), conforme modelo.
Embalagem: pacote com 500 cédulas, embaladas em plástico transparente.
PCT = pacote </t>
  </si>
  <si>
    <t xml:space="preserve">Cédula de votação – Vereador
Gramatura: 75g/m2.
Especificação: papel opaco na cor BRANCA com impressão em preto e branco - frente/verso, dimensões: altura de 84 mm x largura 191 mm (largura após a dobra de 84 mm), conforme modelo.
Embalagem: pacote com 500 cédulas, embaladas em plástico transparente.
PCT = pacote </t>
  </si>
  <si>
    <t>Senha modelo 7
Formato: 65 mm x 55 mm (largura x altura).
Gramatura: 50g/m2 (papel jornal).
Especificação: senha com impressão em preto na frente.
Embalagem: pacote com 50 senhas, embaladas em plástico transparente.
PCT = pacote</t>
  </si>
  <si>
    <t>Formulário Requerimento de Justificativa Eleitoral 
Papel: AP 75g/m2
Dimensões: 29,5 cm X 8,5 cm
Impressão: em preto e branco
Serrilha: vertical, para fácil destaque entre a via da Justiça Eleitoral e o comprovante do eleitor.
Embalagem: pacote com 500 unidades, embaladas em plástico transparente.
PCT = pacote</t>
  </si>
  <si>
    <t>Etiquetas para envelope
(documentos da eleição)
Formato: A4
Gramatura: 75g/m2.
Especificação: etiqueta adesiva na cor branca com impressão em preto na frente e com serrilha ao meio, sendo 2 (duas) etiquetas por folha.
Embalagem: pacote com 25 folhas, embaladas em plástico transparente.
FL = folha</t>
  </si>
  <si>
    <t>Folder para mesário
Papel: AP 75g/m²
Total de páginas: 4 (quatro)
Formato fechado: A4
Formato aberto: A3 (com uma dobra)
Acabamento: com grampos
Padrão de cor: preto e branco
Embalagem: pacotes com 25 folders, embalados em plástico transparente.
MLH = milheiro</t>
  </si>
  <si>
    <t>Formulário controle material de eleição/recibo de devolução de material
Formato: A4 (210 mm x 297 mm).
Gramatura: 75g/m2.
Especificação: papel autocopiativo, com impressão em preto na frente. Jogo com 03 (vias); 1ª via: azul, 2ª via: branca, 3ª via: amarela.
Embalagem: bloco com 50 jogos.
BL = bloco</t>
  </si>
  <si>
    <t>Recibo da Entrega de UE/Devolução de UE (par de recibos)
Formato: 215 mm x 105 mm (largura x altura).
Gramatura: 75g/m2.
Especificação: recibo na cor BRANCA com impressão em preto na frente com serrilha ao meio.
Embalagem: pacote com 25 unidades, embaladas em plástico transparente.
MLH=milheiro</t>
  </si>
  <si>
    <t>Preferenciais
Especificação: dimensões 105 mm X 148 mm, gramatura 75 g/m2, papel offset na cor BRANCA com impressão em preto e branco na frente.
UND = unidade</t>
  </si>
  <si>
    <t>Etiquetas para identificação das mídias de carga
 Papel: autoadesivo;
 Dimensões: 37,5 mm x 21 mm;
 Frontal: Offset branco fosco 60 a 75g/m²;
 Adesivo: Hotmelt 25g/m²;
 Liner: Couchê 80 a 90g/m²;
 Impressão: em preto, apenas na frente
 Acabamento: meio-corte para destacar cada etiqueta individualmente;
 Acondicionamento: que resguarde a integridade das etiquetas.
CARTELA COM 40 ETIQUETAS</t>
  </si>
  <si>
    <t>Etiquetas para identificação das mídias de votação
 Papel: autoadesivo;
 Dimensões: 37,5 mm x 21 mm;
 Frontal: Offset branco fosco 60 a 75g/m²;
 Adesivo: Hotmelt 25g/m²;
 Liner: Couchê 80 a 90g/m²;
 Impressão: em preto, apenas na frente
 Acabamento: meio-corte para destacar cada etiqueta individualmente;
 Acondicionamento: que resguarde a integridade das etiquetas. 
CARTELA COM 40 ETIQUETAS</t>
  </si>
  <si>
    <t xml:space="preserve">Etiquetas para identificação das mídias de resultado
 Papel: autoadesivo;
 Dimensões: 64 mm x 44 mm;
 Frontal: Offset branco fosco 60 a 75g/m²;
 Adesivo: Hotmelt 25g/m²;
 Liner: Couchê 80 a 90g/m²;
 Impressão: em preto, apenas na frente
 Acabamento: meio-corte para destacar cada etiqueta individualmente;
 Acondicionamento: que resguarde a integridade das etiquetas.
CARTELA COM 17 ETIQUETAS </t>
  </si>
  <si>
    <t xml:space="preserve">Crachá – Juiz (a) Eleitoral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</si>
  <si>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Crachá – Promotor (a) Eleitoral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t>
  </si>
  <si>
    <t xml:space="preserve">Crachá – Mesários (as)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</si>
  <si>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 xml:space="preserve">Crachá – Coordenador (a) de Local de Votação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</si>
  <si>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Crachá – Colaborador (a)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t>
  </si>
  <si>
    <t xml:space="preserve">Crachá – Membros da Junta Apuradora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</si>
  <si>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 xml:space="preserve">Crachá – Coordenador (a) de Acessibilidade
Formato: 90 mm x 120 mm (largura x altura). Gramatura: 250g/m2.
Especificação: papel opaco na cor branca, com impressão multicolorida na frente, com cordão azul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</si>
  <si>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 xml:space="preserve">Crachá – Comissão de Auditoria da Votação Eletrônica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</si>
  <si>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 xml:space="preserve">Crachá – Juiz (a) Presidente
Comissão de Auditoria da Votação Eletrônica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</si>
  <si>
    <t xml:space="preserve">Crachá – Representante do Ministério Público
Comissão de Auditoria da Votação Eletrônica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</si>
</sst>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sz val="10"/>
      <color rgb="FF00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3" fontId="2" fillId="0" borderId="1" xfId="0" applyNumberFormat="1" applyFont="1" applyBorder="1" applyAlignment="1">
      <alignment horizontal="center" vertical="center"/>
    </xf>
    <xf numFmtId="0" fontId="10" fillId="0" borderId="0" xfId="0" applyFont="1"/>
    <xf numFmtId="0" fontId="10" fillId="0" borderId="1" xfId="0" applyFont="1" applyBorder="1"/>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topLeftCell="A3" zoomScaleNormal="100" zoomScaleSheetLayoutView="100" workbookViewId="0">
      <selection activeCell="B18" sqref="B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104</v>
      </c>
      <c r="C3" s="36" t="s">
        <v>56</v>
      </c>
      <c r="D3" s="36">
        <v>60</v>
      </c>
      <c r="E3" s="37">
        <f>IF(C20&lt;=25%,D20,MIN(E20:F20))</f>
        <v>5172.8599999999997</v>
      </c>
      <c r="F3" s="37">
        <f>MIN(H3:H17)</f>
        <v>2500</v>
      </c>
      <c r="G3" s="5" t="s">
        <v>57</v>
      </c>
      <c r="H3" s="16">
        <f>(3.3*1000)</f>
        <v>3300</v>
      </c>
      <c r="I3" s="17">
        <f>IF(H3="","",(IF($C$20&lt;25%,"n/a",IF(H3&lt;=($D$20+$A$20),H3,"Descartado"))))</f>
        <v>3300</v>
      </c>
    </row>
    <row r="4" spans="1:9" x14ac:dyDescent="0.25">
      <c r="A4" s="38"/>
      <c r="B4" s="35"/>
      <c r="C4" s="36"/>
      <c r="D4" s="36"/>
      <c r="E4" s="37"/>
      <c r="F4" s="37"/>
      <c r="G4" s="5" t="s">
        <v>58</v>
      </c>
      <c r="H4" s="16">
        <f>(3.49*1000)</f>
        <v>3490</v>
      </c>
      <c r="I4" s="17">
        <f t="shared" ref="I4:I17" si="0">IF(H4="","",(IF($C$20&lt;25%,"n/a",IF(H4&lt;=($D$20+$A$20),H4,"Descartado"))))</f>
        <v>3490</v>
      </c>
    </row>
    <row r="5" spans="1:9" x14ac:dyDescent="0.25">
      <c r="A5" s="38"/>
      <c r="B5" s="35"/>
      <c r="C5" s="36"/>
      <c r="D5" s="36"/>
      <c r="E5" s="37"/>
      <c r="F5" s="37"/>
      <c r="G5" s="5" t="s">
        <v>59</v>
      </c>
      <c r="H5" s="16">
        <f>(7.28*1000)</f>
        <v>7280</v>
      </c>
      <c r="I5" s="17">
        <f t="shared" si="0"/>
        <v>7280</v>
      </c>
    </row>
    <row r="6" spans="1:9" x14ac:dyDescent="0.25">
      <c r="A6" s="38"/>
      <c r="B6" s="35"/>
      <c r="C6" s="36"/>
      <c r="D6" s="36"/>
      <c r="E6" s="37"/>
      <c r="F6" s="37"/>
      <c r="G6" s="5" t="s">
        <v>60</v>
      </c>
      <c r="H6" s="16">
        <f>(7.29*1000)</f>
        <v>7290</v>
      </c>
      <c r="I6" s="17">
        <f t="shared" si="0"/>
        <v>7290</v>
      </c>
    </row>
    <row r="7" spans="1:9" x14ac:dyDescent="0.25">
      <c r="A7" s="38"/>
      <c r="B7" s="35"/>
      <c r="C7" s="36"/>
      <c r="D7" s="36"/>
      <c r="E7" s="37"/>
      <c r="F7" s="37"/>
      <c r="G7" s="5" t="s">
        <v>61</v>
      </c>
      <c r="H7" s="16">
        <f>(8.5*1000)</f>
        <v>8500</v>
      </c>
      <c r="I7" s="17">
        <f t="shared" si="0"/>
        <v>8500</v>
      </c>
    </row>
    <row r="8" spans="1:9" x14ac:dyDescent="0.25">
      <c r="A8" s="38"/>
      <c r="B8" s="35"/>
      <c r="C8" s="36"/>
      <c r="D8" s="36"/>
      <c r="E8" s="37"/>
      <c r="F8" s="37"/>
      <c r="G8" s="5" t="s">
        <v>62</v>
      </c>
      <c r="H8" s="16">
        <f>(10.59*1000)</f>
        <v>10590</v>
      </c>
      <c r="I8" s="17" t="str">
        <f t="shared" si="0"/>
        <v>Descartado</v>
      </c>
    </row>
    <row r="9" spans="1:9" x14ac:dyDescent="0.25">
      <c r="A9" s="38"/>
      <c r="B9" s="35"/>
      <c r="C9" s="36"/>
      <c r="D9" s="36"/>
      <c r="E9" s="37"/>
      <c r="F9" s="37"/>
      <c r="G9" s="5" t="s">
        <v>63</v>
      </c>
      <c r="H9" s="16">
        <v>2500</v>
      </c>
      <c r="I9" s="17">
        <f t="shared" si="0"/>
        <v>2500</v>
      </c>
    </row>
    <row r="10" spans="1:9" x14ac:dyDescent="0.25">
      <c r="A10" s="38"/>
      <c r="B10" s="35"/>
      <c r="C10" s="36"/>
      <c r="D10" s="36"/>
      <c r="E10" s="37"/>
      <c r="F10" s="37"/>
      <c r="G10" s="5" t="s">
        <v>64</v>
      </c>
      <c r="H10" s="16">
        <v>3850</v>
      </c>
      <c r="I10" s="17">
        <f t="shared" si="0"/>
        <v>3850</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2949.6537327044243</v>
      </c>
      <c r="B20" s="8">
        <f>COUNT(H3:H17)</f>
        <v>8</v>
      </c>
      <c r="C20" s="9">
        <f>IF(B20&lt;2,"n/a",(A20/D20))</f>
        <v>0.50421431328280752</v>
      </c>
      <c r="D20" s="10">
        <f>IFERROR(ROUND(AVERAGE(H3:H17),2),"")</f>
        <v>5850</v>
      </c>
      <c r="E20" s="15">
        <f>IFERROR(ROUND(IF(B20&lt;2,"n/a",(IF(C20&lt;=25%,"n/a",AVERAGE(I3:I17)))),2),"n/a")</f>
        <v>5172.8599999999997</v>
      </c>
      <c r="F20" s="10">
        <f>IFERROR(ROUND(MEDIAN(H3:H17),2),"")</f>
        <v>5565</v>
      </c>
      <c r="G20" s="11" t="str">
        <f>IFERROR(INDEX(G3:G17,MATCH(H20,H3:H17,0)),"")</f>
        <v>GRÁFICA SANTA BÁRBARA LTDA</v>
      </c>
      <c r="H20" s="12">
        <f>F3</f>
        <v>2500</v>
      </c>
    </row>
    <row r="22" spans="1:9" x14ac:dyDescent="0.25">
      <c r="G22" s="13" t="s">
        <v>20</v>
      </c>
      <c r="H22" s="14">
        <f>IF(C20&lt;=25%,D20,MIN(E20:F20))</f>
        <v>5172.8599999999997</v>
      </c>
    </row>
    <row r="23" spans="1:9" x14ac:dyDescent="0.25">
      <c r="G23" s="13" t="s">
        <v>6</v>
      </c>
      <c r="H23" s="14">
        <f>ROUND(H22,2)*D3</f>
        <v>310371.59999999998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112</v>
      </c>
      <c r="C3" s="36" t="s">
        <v>94</v>
      </c>
      <c r="D3" s="36">
        <v>230</v>
      </c>
      <c r="E3" s="37">
        <f>IF(C20&lt;=25%,D20,MIN(E20:F20))</f>
        <v>15</v>
      </c>
      <c r="F3" s="37">
        <f>MIN(H3:H17)</f>
        <v>10.833349999999999</v>
      </c>
      <c r="G3" s="42" t="s">
        <v>95</v>
      </c>
      <c r="H3" s="16">
        <f>(0.216667*50)</f>
        <v>10.833349999999999</v>
      </c>
      <c r="I3" s="17">
        <f>IF(H3="","",(IF($C$20&lt;25%,"n/a",IF(H3&lt;=($D$20+$A$20),H3,"Descartado"))))</f>
        <v>10.833349999999999</v>
      </c>
    </row>
    <row r="4" spans="1:9" x14ac:dyDescent="0.25">
      <c r="A4" s="38"/>
      <c r="B4" s="35"/>
      <c r="C4" s="36"/>
      <c r="D4" s="36"/>
      <c r="E4" s="37"/>
      <c r="F4" s="37"/>
      <c r="G4" s="42" t="s">
        <v>96</v>
      </c>
      <c r="H4" s="16">
        <f>(0.217333*50)</f>
        <v>10.86665</v>
      </c>
      <c r="I4" s="17">
        <f t="shared" ref="I4:I17" si="0">IF(H4="","",(IF($C$20&lt;25%,"n/a",IF(H4&lt;=($D$20+$A$20),H4,"Descartado"))))</f>
        <v>10.86665</v>
      </c>
    </row>
    <row r="5" spans="1:9" x14ac:dyDescent="0.25">
      <c r="A5" s="38"/>
      <c r="B5" s="35"/>
      <c r="C5" s="36"/>
      <c r="D5" s="36"/>
      <c r="E5" s="37"/>
      <c r="F5" s="37"/>
      <c r="G5" s="42" t="s">
        <v>97</v>
      </c>
      <c r="H5" s="16">
        <f>(0.25*50)</f>
        <v>12.5</v>
      </c>
      <c r="I5" s="17">
        <f t="shared" si="0"/>
        <v>12.5</v>
      </c>
    </row>
    <row r="6" spans="1:9" x14ac:dyDescent="0.25">
      <c r="A6" s="38"/>
      <c r="B6" s="35"/>
      <c r="C6" s="36"/>
      <c r="D6" s="36"/>
      <c r="E6" s="37"/>
      <c r="F6" s="37"/>
      <c r="G6" s="42" t="s">
        <v>98</v>
      </c>
      <c r="H6" s="16">
        <f>(0.35*50)</f>
        <v>17.5</v>
      </c>
      <c r="I6" s="17">
        <f t="shared" si="0"/>
        <v>17.5</v>
      </c>
    </row>
    <row r="7" spans="1:9" x14ac:dyDescent="0.25">
      <c r="A7" s="38"/>
      <c r="B7" s="35"/>
      <c r="C7" s="36"/>
      <c r="D7" s="36"/>
      <c r="E7" s="37"/>
      <c r="F7" s="37"/>
      <c r="G7" s="5" t="s">
        <v>63</v>
      </c>
      <c r="H7" s="16">
        <v>39</v>
      </c>
      <c r="I7" s="17">
        <f t="shared" si="0"/>
        <v>39</v>
      </c>
    </row>
    <row r="8" spans="1:9" x14ac:dyDescent="0.25">
      <c r="A8" s="38"/>
      <c r="B8" s="35"/>
      <c r="C8" s="36"/>
      <c r="D8" s="36"/>
      <c r="E8" s="37"/>
      <c r="F8" s="37"/>
      <c r="G8" s="5" t="s">
        <v>64</v>
      </c>
      <c r="H8" s="16">
        <v>58.79</v>
      </c>
      <c r="I8" s="17" t="str">
        <f t="shared" si="0"/>
        <v>Descartado</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19.751791333674014</v>
      </c>
      <c r="B20" s="8">
        <f>COUNT(H3:H17)</f>
        <v>6</v>
      </c>
      <c r="C20" s="9">
        <f>IF(B20&lt;2,"n/a",(A20/D20))</f>
        <v>0.79260799894357992</v>
      </c>
      <c r="D20" s="10">
        <f>IFERROR(ROUND(AVERAGE(H3:H17),2),"")</f>
        <v>24.92</v>
      </c>
      <c r="E20" s="15">
        <f>IFERROR(ROUND(IF(B20&lt;2,"n/a",(IF(C20&lt;=25%,"n/a",AVERAGE(I3:I17)))),2),"n/a")</f>
        <v>18.14</v>
      </c>
      <c r="F20" s="10">
        <f>IFERROR(ROUND(MEDIAN(H3:H17),2),"")</f>
        <v>15</v>
      </c>
      <c r="G20" s="11" t="str">
        <f>IFERROR(INDEX(G3:G17,MATCH(H20,H3:H17,0)),"")</f>
        <v>CURTOLO &amp; CURTOLO GRAFICA LTDA</v>
      </c>
      <c r="H20" s="12">
        <f>F3</f>
        <v>10.833349999999999</v>
      </c>
    </row>
    <row r="22" spans="1:9" x14ac:dyDescent="0.25">
      <c r="G22" s="13" t="s">
        <v>20</v>
      </c>
      <c r="H22" s="14">
        <f>IF(C20&lt;=25%,D20,MIN(E20:F20))</f>
        <v>15</v>
      </c>
    </row>
    <row r="23" spans="1:9" x14ac:dyDescent="0.25">
      <c r="G23" s="13" t="s">
        <v>6</v>
      </c>
      <c r="H23" s="14">
        <f>ROUND(H22,2)*D3</f>
        <v>3450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113</v>
      </c>
      <c r="C3" s="36" t="s">
        <v>56</v>
      </c>
      <c r="D3" s="36">
        <v>51</v>
      </c>
      <c r="E3" s="37">
        <f>IF(C20&lt;=25%,D20,MIN(E20:F20))</f>
        <v>105.09</v>
      </c>
      <c r="F3" s="37">
        <f>MIN(H3:H17)</f>
        <v>32.72</v>
      </c>
      <c r="G3" s="5" t="s">
        <v>63</v>
      </c>
      <c r="H3" s="16">
        <v>180</v>
      </c>
      <c r="I3" s="17">
        <f>IF(H3="","",(IF($C$20&lt;25%,"n/a",IF(H3&lt;=($D$20+$A$20),H3,"Descartado"))))</f>
        <v>180</v>
      </c>
    </row>
    <row r="4" spans="1:9" x14ac:dyDescent="0.25">
      <c r="A4" s="38"/>
      <c r="B4" s="35"/>
      <c r="C4" s="36"/>
      <c r="D4" s="36"/>
      <c r="E4" s="37"/>
      <c r="F4" s="37"/>
      <c r="G4" s="5" t="s">
        <v>64</v>
      </c>
      <c r="H4" s="16">
        <v>100</v>
      </c>
      <c r="I4" s="17">
        <f t="shared" ref="I4:I17" si="0">IF(H4="","",(IF($C$20&lt;25%,"n/a",IF(H4&lt;=($D$20+$A$20),H4,"Descartado"))))</f>
        <v>100</v>
      </c>
    </row>
    <row r="5" spans="1:9" x14ac:dyDescent="0.25">
      <c r="A5" s="38"/>
      <c r="B5" s="35"/>
      <c r="C5" s="36"/>
      <c r="D5" s="36"/>
      <c r="E5" s="37"/>
      <c r="F5" s="37"/>
      <c r="G5" s="5" t="s">
        <v>81</v>
      </c>
      <c r="H5" s="16">
        <v>32.72</v>
      </c>
      <c r="I5" s="17">
        <f t="shared" si="0"/>
        <v>32.72</v>
      </c>
    </row>
    <row r="6" spans="1:9" x14ac:dyDescent="0.25">
      <c r="A6" s="38"/>
      <c r="B6" s="35"/>
      <c r="C6" s="36"/>
      <c r="D6" s="36"/>
      <c r="E6" s="37"/>
      <c r="F6" s="37"/>
      <c r="G6" s="5" t="s">
        <v>82</v>
      </c>
      <c r="H6" s="16">
        <v>32.72</v>
      </c>
      <c r="I6" s="17">
        <f t="shared" si="0"/>
        <v>32.72</v>
      </c>
    </row>
    <row r="7" spans="1:9" x14ac:dyDescent="0.25">
      <c r="A7" s="38"/>
      <c r="B7" s="35"/>
      <c r="C7" s="36"/>
      <c r="D7" s="36"/>
      <c r="E7" s="37"/>
      <c r="F7" s="37"/>
      <c r="G7" s="5" t="s">
        <v>84</v>
      </c>
      <c r="H7" s="16">
        <v>190.12</v>
      </c>
      <c r="I7" s="17">
        <f t="shared" si="0"/>
        <v>190.12</v>
      </c>
    </row>
    <row r="8" spans="1:9" x14ac:dyDescent="0.25">
      <c r="A8" s="38"/>
      <c r="B8" s="35"/>
      <c r="C8" s="36"/>
      <c r="D8" s="36"/>
      <c r="E8" s="37"/>
      <c r="F8" s="37"/>
      <c r="G8" s="5" t="s">
        <v>85</v>
      </c>
      <c r="H8" s="16">
        <v>105.62</v>
      </c>
      <c r="I8" s="17">
        <f t="shared" si="0"/>
        <v>105.62</v>
      </c>
    </row>
    <row r="9" spans="1:9" x14ac:dyDescent="0.25">
      <c r="A9" s="38"/>
      <c r="B9" s="35"/>
      <c r="C9" s="36"/>
      <c r="D9" s="36"/>
      <c r="E9" s="37"/>
      <c r="F9" s="37"/>
      <c r="G9" s="5" t="s">
        <v>86</v>
      </c>
      <c r="H9" s="16">
        <v>633.72</v>
      </c>
      <c r="I9" s="17" t="str">
        <f t="shared" si="0"/>
        <v>Descartado</v>
      </c>
    </row>
    <row r="10" spans="1:9" x14ac:dyDescent="0.25">
      <c r="A10" s="38"/>
      <c r="B10" s="35"/>
      <c r="C10" s="36"/>
      <c r="D10" s="36"/>
      <c r="E10" s="37"/>
      <c r="F10" s="37"/>
      <c r="G10" s="5" t="s">
        <v>87</v>
      </c>
      <c r="H10" s="16">
        <v>104.56</v>
      </c>
      <c r="I10" s="17">
        <f t="shared" si="0"/>
        <v>104.56</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195.12358397033549</v>
      </c>
      <c r="B20" s="8">
        <f>COUNT(H3:H17)</f>
        <v>8</v>
      </c>
      <c r="C20" s="9">
        <f>IF(B20&lt;2,"n/a",(A20/D20))</f>
        <v>1.1316104156488749</v>
      </c>
      <c r="D20" s="10">
        <f>IFERROR(ROUND(AVERAGE(H3:H17),2),"")</f>
        <v>172.43</v>
      </c>
      <c r="E20" s="15">
        <f>IFERROR(ROUND(IF(B20&lt;2,"n/a",(IF(C20&lt;=25%,"n/a",AVERAGE(I3:I17)))),2),"n/a")</f>
        <v>106.53</v>
      </c>
      <c r="F20" s="10">
        <f>IFERROR(ROUND(MEDIAN(H3:H17),2),"")</f>
        <v>105.09</v>
      </c>
      <c r="G20" s="11" t="str">
        <f>IFERROR(INDEX(G3:G17,MATCH(H20,H3:H17,0)),"")</f>
        <v>S A PRODUCOES E SERVICOS LTDA</v>
      </c>
      <c r="H20" s="12">
        <f>F3</f>
        <v>32.72</v>
      </c>
    </row>
    <row r="22" spans="1:9" x14ac:dyDescent="0.25">
      <c r="G22" s="13" t="s">
        <v>20</v>
      </c>
      <c r="H22" s="14">
        <f>IF(C20&lt;=25%,D20,MIN(E20:F20))</f>
        <v>105.09</v>
      </c>
    </row>
    <row r="23" spans="1:9" x14ac:dyDescent="0.25">
      <c r="G23" s="13" t="s">
        <v>6</v>
      </c>
      <c r="H23" s="14">
        <f>ROUND(H22,2)*D3</f>
        <v>5359.59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114</v>
      </c>
      <c r="C3" s="36" t="s">
        <v>7</v>
      </c>
      <c r="D3" s="40">
        <v>20000</v>
      </c>
      <c r="E3" s="37">
        <f>IF(C20&lt;=25%,D20,MIN(E20:F20))</f>
        <v>0.17</v>
      </c>
      <c r="F3" s="37">
        <f>MIN(H3:H17)</f>
        <v>0.04</v>
      </c>
      <c r="G3" s="5" t="s">
        <v>63</v>
      </c>
      <c r="H3" s="16">
        <v>0.18</v>
      </c>
      <c r="I3" s="17">
        <f>IF(H3="","",(IF($C$20&lt;25%,"n/a",IF(H3&lt;=($D$20+$A$20),H3,"Descartado"))))</f>
        <v>0.18</v>
      </c>
    </row>
    <row r="4" spans="1:9" x14ac:dyDescent="0.25">
      <c r="A4" s="38"/>
      <c r="B4" s="35"/>
      <c r="C4" s="36"/>
      <c r="D4" s="36"/>
      <c r="E4" s="37"/>
      <c r="F4" s="37"/>
      <c r="G4" s="5" t="s">
        <v>64</v>
      </c>
      <c r="H4" s="16">
        <v>0.05</v>
      </c>
      <c r="I4" s="17">
        <f t="shared" ref="I4:I17" si="0">IF(H4="","",(IF($C$20&lt;25%,"n/a",IF(H4&lt;=($D$20+$A$20),H4,"Descartado"))))</f>
        <v>0.05</v>
      </c>
    </row>
    <row r="5" spans="1:9" x14ac:dyDescent="0.25">
      <c r="A5" s="38"/>
      <c r="B5" s="35"/>
      <c r="C5" s="36"/>
      <c r="D5" s="36"/>
      <c r="E5" s="37"/>
      <c r="F5" s="37"/>
      <c r="G5" s="5" t="s">
        <v>99</v>
      </c>
      <c r="H5" s="16">
        <v>0.04</v>
      </c>
      <c r="I5" s="17">
        <f t="shared" si="0"/>
        <v>0.04</v>
      </c>
    </row>
    <row r="6" spans="1:9" x14ac:dyDescent="0.25">
      <c r="A6" s="38"/>
      <c r="B6" s="35"/>
      <c r="C6" s="36"/>
      <c r="D6" s="36"/>
      <c r="E6" s="37"/>
      <c r="F6" s="37"/>
      <c r="G6" s="5" t="s">
        <v>82</v>
      </c>
      <c r="H6" s="16">
        <v>0.04</v>
      </c>
      <c r="I6" s="17">
        <f t="shared" si="0"/>
        <v>0.04</v>
      </c>
    </row>
    <row r="7" spans="1:9" x14ac:dyDescent="0.25">
      <c r="A7" s="38"/>
      <c r="B7" s="35"/>
      <c r="C7" s="36"/>
      <c r="D7" s="36"/>
      <c r="E7" s="37"/>
      <c r="F7" s="37"/>
      <c r="G7" s="5" t="s">
        <v>83</v>
      </c>
      <c r="H7" s="16">
        <v>0.04</v>
      </c>
      <c r="I7" s="17">
        <f t="shared" si="0"/>
        <v>0.04</v>
      </c>
    </row>
    <row r="8" spans="1:9" x14ac:dyDescent="0.25">
      <c r="A8" s="38"/>
      <c r="B8" s="35"/>
      <c r="C8" s="36"/>
      <c r="D8" s="36"/>
      <c r="E8" s="37"/>
      <c r="F8" s="37"/>
      <c r="G8" s="5" t="s">
        <v>84</v>
      </c>
      <c r="H8" s="16">
        <v>0.52</v>
      </c>
      <c r="I8" s="17">
        <f t="shared" si="0"/>
        <v>0.52</v>
      </c>
    </row>
    <row r="9" spans="1:9" x14ac:dyDescent="0.25">
      <c r="A9" s="38"/>
      <c r="B9" s="35"/>
      <c r="C9" s="36"/>
      <c r="D9" s="36"/>
      <c r="E9" s="37"/>
      <c r="F9" s="37"/>
      <c r="G9" s="5" t="s">
        <v>85</v>
      </c>
      <c r="H9" s="16">
        <v>10.56</v>
      </c>
      <c r="I9" s="17" t="str">
        <f t="shared" si="0"/>
        <v>Descartado</v>
      </c>
    </row>
    <row r="10" spans="1:9" x14ac:dyDescent="0.25">
      <c r="A10" s="38"/>
      <c r="B10" s="35"/>
      <c r="C10" s="36"/>
      <c r="D10" s="36"/>
      <c r="E10" s="37"/>
      <c r="F10" s="37"/>
      <c r="G10" s="5" t="s">
        <v>86</v>
      </c>
      <c r="H10" s="16">
        <v>0.19</v>
      </c>
      <c r="I10" s="17">
        <f t="shared" si="0"/>
        <v>0.19</v>
      </c>
    </row>
    <row r="11" spans="1:9" x14ac:dyDescent="0.25">
      <c r="A11" s="38"/>
      <c r="B11" s="35"/>
      <c r="C11" s="36"/>
      <c r="D11" s="36"/>
      <c r="E11" s="37"/>
      <c r="F11" s="37"/>
      <c r="G11" s="5" t="s">
        <v>87</v>
      </c>
      <c r="H11" s="16">
        <v>0.26</v>
      </c>
      <c r="I11" s="17">
        <f t="shared" si="0"/>
        <v>0.26</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3.4685335518054319</v>
      </c>
      <c r="B20" s="8">
        <f>COUNT(H3:H17)</f>
        <v>9</v>
      </c>
      <c r="C20" s="9">
        <f>IF(B20&lt;2,"n/a",(A20/D20))</f>
        <v>2.6276769331859331</v>
      </c>
      <c r="D20" s="10">
        <f>IFERROR(ROUND(AVERAGE(H3:H17),2),"")</f>
        <v>1.32</v>
      </c>
      <c r="E20" s="15">
        <f>IFERROR(ROUND(IF(B20&lt;2,"n/a",(IF(C20&lt;=25%,"n/a",AVERAGE(I3:I17)))),2),"n/a")</f>
        <v>0.17</v>
      </c>
      <c r="F20" s="10">
        <f>IFERROR(ROUND(MEDIAN(H3:H17),2),"")</f>
        <v>0.18</v>
      </c>
      <c r="G20" s="11" t="str">
        <f>IFERROR(INDEX(G3:G17,MATCH(H20,H3:H17,0)),"")</f>
        <v xml:space="preserve"> SA PRODUCOES E SERVICOS LTDA</v>
      </c>
      <c r="H20" s="12">
        <f>F3</f>
        <v>0.04</v>
      </c>
    </row>
    <row r="22" spans="1:9" x14ac:dyDescent="0.25">
      <c r="G22" s="13" t="s">
        <v>20</v>
      </c>
      <c r="H22" s="14">
        <f>IF(C20&lt;=25%,D20,MIN(E20:F20))</f>
        <v>0.17</v>
      </c>
    </row>
    <row r="23" spans="1:9" x14ac:dyDescent="0.25">
      <c r="G23" s="13" t="s">
        <v>6</v>
      </c>
      <c r="H23" s="14">
        <f>ROUND(H22,2)*D3</f>
        <v>3400.0000000000005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115</v>
      </c>
      <c r="C3" s="36" t="s">
        <v>100</v>
      </c>
      <c r="D3" s="36">
        <v>350</v>
      </c>
      <c r="E3" s="37">
        <f>IF(C20&lt;=25%,D20,MIN(E20:F20))</f>
        <v>14.68</v>
      </c>
      <c r="F3" s="37">
        <f>MIN(H3:H17)</f>
        <v>11.2</v>
      </c>
      <c r="G3" s="5" t="s">
        <v>63</v>
      </c>
      <c r="H3" s="16">
        <v>11.2</v>
      </c>
      <c r="I3" s="17">
        <f>IF(H3="","",(IF($C$20&lt;25%,"n/a",IF(H3&lt;=($D$20+$A$20),H3,"Descartado"))))</f>
        <v>11.2</v>
      </c>
    </row>
    <row r="4" spans="1:9" x14ac:dyDescent="0.25">
      <c r="A4" s="38"/>
      <c r="B4" s="35"/>
      <c r="C4" s="36"/>
      <c r="D4" s="36"/>
      <c r="E4" s="37"/>
      <c r="F4" s="37"/>
      <c r="G4" s="5" t="s">
        <v>101</v>
      </c>
      <c r="H4" s="16">
        <v>14.79</v>
      </c>
      <c r="I4" s="17">
        <f t="shared" ref="I4:I17" si="0">IF(H4="","",(IF($C$20&lt;25%,"n/a",IF(H4&lt;=($D$20+$A$20),H4,"Descartado"))))</f>
        <v>14.79</v>
      </c>
    </row>
    <row r="5" spans="1:9" x14ac:dyDescent="0.25">
      <c r="A5" s="38"/>
      <c r="B5" s="35"/>
      <c r="C5" s="36"/>
      <c r="D5" s="36"/>
      <c r="E5" s="37"/>
      <c r="F5" s="37"/>
      <c r="G5" s="5" t="s">
        <v>82</v>
      </c>
      <c r="H5" s="16">
        <v>13.52</v>
      </c>
      <c r="I5" s="17">
        <f t="shared" si="0"/>
        <v>13.52</v>
      </c>
    </row>
    <row r="6" spans="1:9" x14ac:dyDescent="0.25">
      <c r="A6" s="38"/>
      <c r="B6" s="35"/>
      <c r="C6" s="36"/>
      <c r="D6" s="36"/>
      <c r="E6" s="37"/>
      <c r="F6" s="37"/>
      <c r="G6" s="5" t="s">
        <v>102</v>
      </c>
      <c r="H6" s="16">
        <v>12.67</v>
      </c>
      <c r="I6" s="17">
        <f t="shared" si="0"/>
        <v>12.67</v>
      </c>
    </row>
    <row r="7" spans="1:9" x14ac:dyDescent="0.25">
      <c r="A7" s="38"/>
      <c r="B7" s="35"/>
      <c r="C7" s="36"/>
      <c r="D7" s="36"/>
      <c r="E7" s="37"/>
      <c r="F7" s="37"/>
      <c r="G7" s="5" t="s">
        <v>83</v>
      </c>
      <c r="H7" s="16">
        <v>14.79</v>
      </c>
      <c r="I7" s="17">
        <f t="shared" si="0"/>
        <v>14.79</v>
      </c>
    </row>
    <row r="8" spans="1:9" x14ac:dyDescent="0.25">
      <c r="A8" s="38"/>
      <c r="B8" s="35"/>
      <c r="C8" s="36"/>
      <c r="D8" s="36"/>
      <c r="E8" s="37"/>
      <c r="F8" s="37"/>
      <c r="G8" s="5" t="s">
        <v>84</v>
      </c>
      <c r="H8" s="16">
        <v>42.94</v>
      </c>
      <c r="I8" s="17" t="str">
        <f t="shared" si="0"/>
        <v>Descartado</v>
      </c>
    </row>
    <row r="9" spans="1:9" x14ac:dyDescent="0.25">
      <c r="A9" s="38"/>
      <c r="B9" s="35"/>
      <c r="C9" s="36"/>
      <c r="D9" s="36"/>
      <c r="E9" s="37"/>
      <c r="F9" s="37"/>
      <c r="G9" s="5" t="s">
        <v>85</v>
      </c>
      <c r="H9" s="16">
        <v>52.81</v>
      </c>
      <c r="I9" s="17" t="str">
        <f t="shared" si="0"/>
        <v>Descartado</v>
      </c>
    </row>
    <row r="10" spans="1:9" x14ac:dyDescent="0.25">
      <c r="A10" s="38"/>
      <c r="B10" s="35"/>
      <c r="C10" s="36"/>
      <c r="D10" s="36"/>
      <c r="E10" s="37"/>
      <c r="F10" s="37"/>
      <c r="G10" s="5" t="s">
        <v>86</v>
      </c>
      <c r="H10" s="16">
        <v>21.12</v>
      </c>
      <c r="I10" s="17">
        <f t="shared" si="0"/>
        <v>21.12</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15.858293909317156</v>
      </c>
      <c r="B20" s="8">
        <f>COUNT(H3:H17)</f>
        <v>8</v>
      </c>
      <c r="C20" s="9">
        <f>IF(B20&lt;2,"n/a",(A20/D20))</f>
        <v>0.6900911187692409</v>
      </c>
      <c r="D20" s="10">
        <f>IFERROR(ROUND(AVERAGE(H3:H17),2),"")</f>
        <v>22.98</v>
      </c>
      <c r="E20" s="15">
        <f>IFERROR(ROUND(IF(B20&lt;2,"n/a",(IF(C20&lt;=25%,"n/a",AVERAGE(I3:I17)))),2),"n/a")</f>
        <v>14.68</v>
      </c>
      <c r="F20" s="10">
        <f>IFERROR(ROUND(MEDIAN(H3:H17),2),"")</f>
        <v>14.79</v>
      </c>
      <c r="G20" s="11" t="str">
        <f>IFERROR(INDEX(G3:G17,MATCH(H20,H3:H17,0)),"")</f>
        <v>GRÁFICA SANTA BÁRBARA LTDA</v>
      </c>
      <c r="H20" s="12">
        <f>F3</f>
        <v>11.2</v>
      </c>
    </row>
    <row r="22" spans="1:9" x14ac:dyDescent="0.25">
      <c r="G22" s="13" t="s">
        <v>20</v>
      </c>
      <c r="H22" s="14">
        <f>IF(C20&lt;=25%,D20,MIN(E20:F20))</f>
        <v>14.68</v>
      </c>
    </row>
    <row r="23" spans="1:9" x14ac:dyDescent="0.25">
      <c r="G23" s="13" t="s">
        <v>6</v>
      </c>
      <c r="H23" s="14">
        <f>ROUND(H22,2)*D3</f>
        <v>5138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116</v>
      </c>
      <c r="C3" s="36" t="s">
        <v>100</v>
      </c>
      <c r="D3" s="36">
        <v>1600</v>
      </c>
      <c r="E3" s="37">
        <f>IF(C20&lt;=25%,D20,MIN(E20:F20))</f>
        <v>6.56</v>
      </c>
      <c r="F3" s="37">
        <f>MIN(H3:H17)</f>
        <v>4.22</v>
      </c>
      <c r="G3" s="5" t="s">
        <v>63</v>
      </c>
      <c r="H3" s="16">
        <v>5.2</v>
      </c>
      <c r="I3" s="17">
        <f>IF(H3="","",(IF($C$20&lt;25%,"n/a",IF(H3&lt;=($D$20+$A$20),H3,"Descartado"))))</f>
        <v>5.2</v>
      </c>
    </row>
    <row r="4" spans="1:9" x14ac:dyDescent="0.25">
      <c r="A4" s="38"/>
      <c r="B4" s="35"/>
      <c r="C4" s="36"/>
      <c r="D4" s="36"/>
      <c r="E4" s="37"/>
      <c r="F4" s="37"/>
      <c r="G4" s="5" t="s">
        <v>101</v>
      </c>
      <c r="H4" s="16">
        <v>8.34</v>
      </c>
      <c r="I4" s="17">
        <f t="shared" ref="I4:I17" si="0">IF(H4="","",(IF($C$20&lt;25%,"n/a",IF(H4&lt;=($D$20+$A$20),H4,"Descartado"))))</f>
        <v>8.34</v>
      </c>
    </row>
    <row r="5" spans="1:9" x14ac:dyDescent="0.25">
      <c r="A5" s="38"/>
      <c r="B5" s="35"/>
      <c r="C5" s="36"/>
      <c r="D5" s="36"/>
      <c r="E5" s="37"/>
      <c r="F5" s="37"/>
      <c r="G5" s="5" t="s">
        <v>82</v>
      </c>
      <c r="H5" s="16">
        <v>5.28</v>
      </c>
      <c r="I5" s="17">
        <f t="shared" si="0"/>
        <v>5.28</v>
      </c>
    </row>
    <row r="6" spans="1:9" x14ac:dyDescent="0.25">
      <c r="A6" s="38"/>
      <c r="B6" s="35"/>
      <c r="C6" s="36"/>
      <c r="D6" s="36"/>
      <c r="E6" s="37"/>
      <c r="F6" s="37"/>
      <c r="G6" s="5" t="s">
        <v>102</v>
      </c>
      <c r="H6" s="16">
        <v>4.22</v>
      </c>
      <c r="I6" s="17">
        <f t="shared" si="0"/>
        <v>4.22</v>
      </c>
    </row>
    <row r="7" spans="1:9" x14ac:dyDescent="0.25">
      <c r="A7" s="38"/>
      <c r="B7" s="35"/>
      <c r="C7" s="36"/>
      <c r="D7" s="36"/>
      <c r="E7" s="37"/>
      <c r="F7" s="37"/>
      <c r="G7" s="5" t="s">
        <v>83</v>
      </c>
      <c r="H7" s="16">
        <v>8.34</v>
      </c>
      <c r="I7" s="17">
        <f t="shared" si="0"/>
        <v>8.34</v>
      </c>
    </row>
    <row r="8" spans="1:9" x14ac:dyDescent="0.25">
      <c r="A8" s="38"/>
      <c r="B8" s="35"/>
      <c r="C8" s="36"/>
      <c r="D8" s="36"/>
      <c r="E8" s="37"/>
      <c r="F8" s="37"/>
      <c r="G8" s="5" t="s">
        <v>84</v>
      </c>
      <c r="H8" s="16">
        <v>5.46</v>
      </c>
      <c r="I8" s="17">
        <f t="shared" si="0"/>
        <v>5.46</v>
      </c>
    </row>
    <row r="9" spans="1:9" x14ac:dyDescent="0.25">
      <c r="A9" s="38"/>
      <c r="B9" s="35"/>
      <c r="C9" s="36"/>
      <c r="D9" s="36"/>
      <c r="E9" s="37"/>
      <c r="F9" s="37"/>
      <c r="G9" s="5" t="s">
        <v>85</v>
      </c>
      <c r="H9" s="16">
        <v>52.81</v>
      </c>
      <c r="I9" s="17" t="str">
        <f t="shared" si="0"/>
        <v>Descartado</v>
      </c>
    </row>
    <row r="10" spans="1:9" x14ac:dyDescent="0.25">
      <c r="A10" s="38"/>
      <c r="B10" s="35"/>
      <c r="C10" s="36"/>
      <c r="D10" s="36"/>
      <c r="E10" s="37"/>
      <c r="F10" s="37"/>
      <c r="G10" s="5" t="s">
        <v>86</v>
      </c>
      <c r="H10" s="16">
        <v>9.08</v>
      </c>
      <c r="I10" s="17">
        <f t="shared" si="0"/>
        <v>9.08</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16.451402404397889</v>
      </c>
      <c r="B20" s="8">
        <f>COUNT(H3:H17)</f>
        <v>8</v>
      </c>
      <c r="C20" s="9">
        <f>IF(B20&lt;2,"n/a",(A20/D20))</f>
        <v>1.3331768561100397</v>
      </c>
      <c r="D20" s="10">
        <f>IFERROR(ROUND(AVERAGE(H3:H17),2),"")</f>
        <v>12.34</v>
      </c>
      <c r="E20" s="15">
        <f>IFERROR(ROUND(IF(B20&lt;2,"n/a",(IF(C20&lt;=25%,"n/a",AVERAGE(I3:I17)))),2),"n/a")</f>
        <v>6.56</v>
      </c>
      <c r="F20" s="10">
        <f>IFERROR(ROUND(MEDIAN(H3:H17),2),"")</f>
        <v>6.9</v>
      </c>
      <c r="G20" s="11" t="str">
        <f>IFERROR(INDEX(G3:G17,MATCH(H20,H3:H17,0)),"")</f>
        <v>E-LABEL ETIQUETAS E ROTULOS ADESIVOS LTDA</v>
      </c>
      <c r="H20" s="12">
        <f>F3</f>
        <v>4.22</v>
      </c>
    </row>
    <row r="22" spans="1:9" x14ac:dyDescent="0.25">
      <c r="G22" s="13" t="s">
        <v>20</v>
      </c>
      <c r="H22" s="14">
        <f>IF(C20&lt;=25%,D20,MIN(E20:F20))</f>
        <v>6.56</v>
      </c>
    </row>
    <row r="23" spans="1:9" x14ac:dyDescent="0.25">
      <c r="G23" s="13" t="s">
        <v>6</v>
      </c>
      <c r="H23" s="14">
        <f>ROUND(H22,2)*D3</f>
        <v>10496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117</v>
      </c>
      <c r="C3" s="36" t="s">
        <v>100</v>
      </c>
      <c r="D3" s="40">
        <v>4000</v>
      </c>
      <c r="E3" s="37">
        <f>IF(C20&lt;=25%,D20,MIN(E20:F20))</f>
        <v>2.89</v>
      </c>
      <c r="F3" s="37">
        <f>MIN(H3:H17)</f>
        <v>1.58</v>
      </c>
      <c r="G3" s="5" t="s">
        <v>63</v>
      </c>
      <c r="H3" s="16">
        <v>2.15</v>
      </c>
      <c r="I3" s="17">
        <f>IF(H3="","",(IF($C$20&lt;25%,"n/a",IF(H3&lt;=($D$20+$A$20),H3,"Descartado"))))</f>
        <v>2.15</v>
      </c>
    </row>
    <row r="4" spans="1:9" x14ac:dyDescent="0.25">
      <c r="A4" s="38"/>
      <c r="B4" s="35"/>
      <c r="C4" s="36"/>
      <c r="D4" s="36"/>
      <c r="E4" s="37"/>
      <c r="F4" s="37"/>
      <c r="G4" s="5" t="s">
        <v>101</v>
      </c>
      <c r="H4" s="16">
        <v>3.75</v>
      </c>
      <c r="I4" s="17">
        <f t="shared" ref="I4:I17" si="0">IF(H4="","",(IF($C$20&lt;25%,"n/a",IF(H4&lt;=($D$20+$A$20),H4,"Descartado"))))</f>
        <v>3.75</v>
      </c>
    </row>
    <row r="5" spans="1:9" x14ac:dyDescent="0.25">
      <c r="A5" s="38"/>
      <c r="B5" s="35"/>
      <c r="C5" s="36"/>
      <c r="D5" s="36"/>
      <c r="E5" s="37"/>
      <c r="F5" s="37"/>
      <c r="G5" s="5" t="s">
        <v>82</v>
      </c>
      <c r="H5" s="16">
        <v>1.8</v>
      </c>
      <c r="I5" s="17">
        <f t="shared" si="0"/>
        <v>1.8</v>
      </c>
    </row>
    <row r="6" spans="1:9" x14ac:dyDescent="0.25">
      <c r="A6" s="38"/>
      <c r="B6" s="35"/>
      <c r="C6" s="36"/>
      <c r="D6" s="36"/>
      <c r="E6" s="37"/>
      <c r="F6" s="37"/>
      <c r="G6" s="5" t="s">
        <v>102</v>
      </c>
      <c r="H6" s="16">
        <v>1.58</v>
      </c>
      <c r="I6" s="17">
        <f t="shared" si="0"/>
        <v>1.58</v>
      </c>
    </row>
    <row r="7" spans="1:9" x14ac:dyDescent="0.25">
      <c r="A7" s="38"/>
      <c r="B7" s="35"/>
      <c r="C7" s="36"/>
      <c r="D7" s="36"/>
      <c r="E7" s="37"/>
      <c r="F7" s="37"/>
      <c r="G7" s="5" t="s">
        <v>83</v>
      </c>
      <c r="H7" s="16">
        <v>3.75</v>
      </c>
      <c r="I7" s="17">
        <f t="shared" si="0"/>
        <v>3.75</v>
      </c>
    </row>
    <row r="8" spans="1:9" x14ac:dyDescent="0.25">
      <c r="A8" s="38"/>
      <c r="B8" s="35"/>
      <c r="C8" s="36"/>
      <c r="D8" s="36"/>
      <c r="E8" s="37"/>
      <c r="F8" s="37"/>
      <c r="G8" s="5" t="s">
        <v>84</v>
      </c>
      <c r="H8" s="16">
        <v>1.91</v>
      </c>
      <c r="I8" s="17">
        <f t="shared" si="0"/>
        <v>1.91</v>
      </c>
    </row>
    <row r="9" spans="1:9" x14ac:dyDescent="0.25">
      <c r="A9" s="38"/>
      <c r="B9" s="35"/>
      <c r="C9" s="36"/>
      <c r="D9" s="36"/>
      <c r="E9" s="37"/>
      <c r="F9" s="37"/>
      <c r="G9" s="5" t="s">
        <v>85</v>
      </c>
      <c r="H9" s="16">
        <v>31.69</v>
      </c>
      <c r="I9" s="17" t="str">
        <f t="shared" si="0"/>
        <v>Descartado</v>
      </c>
    </row>
    <row r="10" spans="1:9" x14ac:dyDescent="0.25">
      <c r="A10" s="38"/>
      <c r="B10" s="35"/>
      <c r="C10" s="36"/>
      <c r="D10" s="36"/>
      <c r="E10" s="37"/>
      <c r="F10" s="37"/>
      <c r="G10" s="5" t="s">
        <v>86</v>
      </c>
      <c r="H10" s="16">
        <v>5.28</v>
      </c>
      <c r="I10" s="17">
        <f t="shared" si="0"/>
        <v>5.28</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10.263913814218936</v>
      </c>
      <c r="B20" s="8">
        <f>COUNT(H3:H17)</f>
        <v>8</v>
      </c>
      <c r="C20" s="9">
        <f>IF(B20&lt;2,"n/a",(A20/D20))</f>
        <v>1.5814967356269547</v>
      </c>
      <c r="D20" s="10">
        <f>IFERROR(ROUND(AVERAGE(H3:H17),2),"")</f>
        <v>6.49</v>
      </c>
      <c r="E20" s="15">
        <f>IFERROR(ROUND(IF(B20&lt;2,"n/a",(IF(C20&lt;=25%,"n/a",AVERAGE(I3:I17)))),2),"n/a")</f>
        <v>2.89</v>
      </c>
      <c r="F20" s="10">
        <f>IFERROR(ROUND(MEDIAN(H3:H17),2),"")</f>
        <v>2.95</v>
      </c>
      <c r="G20" s="11" t="str">
        <f>IFERROR(INDEX(G3:G17,MATCH(H20,H3:H17,0)),"")</f>
        <v>E-LABEL ETIQUETAS E ROTULOS ADESIVOS LTDA</v>
      </c>
      <c r="H20" s="12">
        <f>F3</f>
        <v>1.58</v>
      </c>
    </row>
    <row r="22" spans="1:9" x14ac:dyDescent="0.25">
      <c r="G22" s="13" t="s">
        <v>20</v>
      </c>
      <c r="H22" s="14">
        <f>IF(C20&lt;=25%,D20,MIN(E20:F20))</f>
        <v>2.89</v>
      </c>
    </row>
    <row r="23" spans="1:9" x14ac:dyDescent="0.25">
      <c r="G23" s="13" t="s">
        <v>6</v>
      </c>
      <c r="H23" s="14">
        <f>ROUND(H22,2)*D3</f>
        <v>11560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118</v>
      </c>
      <c r="C3" s="36" t="s">
        <v>7</v>
      </c>
      <c r="D3" s="36">
        <v>220</v>
      </c>
      <c r="E3" s="37">
        <f>IF(C20&lt;=25%,D20,MIN(E20:F20))</f>
        <v>1.47</v>
      </c>
      <c r="F3" s="37">
        <f>MIN(H3:H17)</f>
        <v>0.93</v>
      </c>
      <c r="G3" s="5" t="s">
        <v>63</v>
      </c>
      <c r="H3" s="16">
        <v>10.45</v>
      </c>
      <c r="I3" s="17" t="str">
        <f>IF(H3="","",(IF($C$20&lt;25%,"n/a",IF(H3&lt;=($D$20+$A$20),H3,"Descartado"))))</f>
        <v>Descartado</v>
      </c>
    </row>
    <row r="4" spans="1:9" x14ac:dyDescent="0.25">
      <c r="A4" s="38"/>
      <c r="B4" s="35"/>
      <c r="C4" s="36"/>
      <c r="D4" s="36"/>
      <c r="E4" s="37"/>
      <c r="F4" s="37"/>
      <c r="G4" s="5" t="s">
        <v>64</v>
      </c>
      <c r="H4" s="16">
        <v>2</v>
      </c>
      <c r="I4" s="17">
        <f t="shared" ref="I4:I17" si="0">IF(H4="","",(IF($C$20&lt;25%,"n/a",IF(H4&lt;=($D$20+$A$20),H4,"Descartado"))))</f>
        <v>2</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5.215007190790824</v>
      </c>
      <c r="B20" s="8">
        <f>COUNT(H3:H17)</f>
        <v>3</v>
      </c>
      <c r="C20" s="9">
        <f>IF(B20&lt;2,"n/a",(A20/D20))</f>
        <v>1.1692841234957005</v>
      </c>
      <c r="D20" s="10">
        <f>IFERROR(ROUND(AVERAGE(H3:H17),2),"")</f>
        <v>4.46</v>
      </c>
      <c r="E20" s="15">
        <f>IFERROR(ROUND(IF(B20&lt;2,"n/a",(IF(C20&lt;=25%,"n/a",AVERAGE(I3:I17)))),2),"n/a")</f>
        <v>1.47</v>
      </c>
      <c r="F20" s="10">
        <f>IFERROR(ROUND(MEDIAN(H3:H17),2),"")</f>
        <v>2</v>
      </c>
      <c r="G20" s="11" t="str">
        <f>IFERROR(INDEX(G3:G17,MATCH(H20,H3:H17,0)),"")</f>
        <v>ADLX SOLUÇÕES LTDA</v>
      </c>
      <c r="H20" s="12">
        <f>F3</f>
        <v>0.93</v>
      </c>
    </row>
    <row r="22" spans="1:9" x14ac:dyDescent="0.25">
      <c r="G22" s="13" t="s">
        <v>20</v>
      </c>
      <c r="H22" s="14">
        <f>IF(C20&lt;=25%,D20,MIN(E20:F20))</f>
        <v>1.47</v>
      </c>
    </row>
    <row r="23" spans="1:9" x14ac:dyDescent="0.25">
      <c r="G23" s="13" t="s">
        <v>6</v>
      </c>
      <c r="H23" s="14">
        <f>ROUND(H22,2)*D3</f>
        <v>323.39999999999998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119</v>
      </c>
      <c r="C3" s="36" t="s">
        <v>7</v>
      </c>
      <c r="D3" s="36">
        <v>220</v>
      </c>
      <c r="E3" s="37">
        <f>IF(C20&lt;=25%,D20,MIN(E20:F20))</f>
        <v>1.47</v>
      </c>
      <c r="F3" s="37">
        <f>MIN(H3:H17)</f>
        <v>0.93</v>
      </c>
      <c r="G3" s="5" t="s">
        <v>63</v>
      </c>
      <c r="H3" s="16">
        <v>10.45</v>
      </c>
      <c r="I3" s="17" t="str">
        <f>IF(H3="","",(IF($C$20&lt;25%,"n/a",IF(H3&lt;=($D$20+$A$20),H3,"Descartado"))))</f>
        <v>Descartado</v>
      </c>
    </row>
    <row r="4" spans="1:9" x14ac:dyDescent="0.25">
      <c r="A4" s="38"/>
      <c r="B4" s="35"/>
      <c r="C4" s="36"/>
      <c r="D4" s="36"/>
      <c r="E4" s="37"/>
      <c r="F4" s="37"/>
      <c r="G4" s="5" t="s">
        <v>64</v>
      </c>
      <c r="H4" s="16">
        <v>2</v>
      </c>
      <c r="I4" s="17">
        <f t="shared" ref="I4:I17" si="0">IF(H4="","",(IF($C$20&lt;25%,"n/a",IF(H4&lt;=($D$20+$A$20),H4,"Descartado"))))</f>
        <v>2</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5.215007190790824</v>
      </c>
      <c r="B20" s="8">
        <f>COUNT(H3:H17)</f>
        <v>3</v>
      </c>
      <c r="C20" s="9">
        <f>IF(B20&lt;2,"n/a",(A20/D20))</f>
        <v>1.1692841234957005</v>
      </c>
      <c r="D20" s="10">
        <f>IFERROR(ROUND(AVERAGE(H3:H17),2),"")</f>
        <v>4.46</v>
      </c>
      <c r="E20" s="15">
        <f>IFERROR(ROUND(IF(B20&lt;2,"n/a",(IF(C20&lt;=25%,"n/a",AVERAGE(I3:I17)))),2),"n/a")</f>
        <v>1.47</v>
      </c>
      <c r="F20" s="10">
        <f>IFERROR(ROUND(MEDIAN(H3:H17),2),"")</f>
        <v>2</v>
      </c>
      <c r="G20" s="11" t="str">
        <f>IFERROR(INDEX(G3:G17,MATCH(H20,H3:H17,0)),"")</f>
        <v>ADLX SOLUÇÕES LTDA</v>
      </c>
      <c r="H20" s="12">
        <f>F3</f>
        <v>0.93</v>
      </c>
    </row>
    <row r="22" spans="1:9" x14ac:dyDescent="0.25">
      <c r="G22" s="13" t="s">
        <v>20</v>
      </c>
      <c r="H22" s="14">
        <f>IF(C20&lt;=25%,D20,MIN(E20:F20))</f>
        <v>1.47</v>
      </c>
    </row>
    <row r="23" spans="1:9" x14ac:dyDescent="0.25">
      <c r="G23" s="13" t="s">
        <v>6</v>
      </c>
      <c r="H23" s="14">
        <f>ROUND(H22,2)*D3</f>
        <v>323.39999999999998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120</v>
      </c>
      <c r="C3" s="40" t="s">
        <v>7</v>
      </c>
      <c r="D3" s="40">
        <v>164529</v>
      </c>
      <c r="E3" s="37">
        <f>IF(C20&lt;=25%,D20,MIN(E20:F20))</f>
        <v>0.89</v>
      </c>
      <c r="F3" s="37">
        <f>MIN(H3:H17)</f>
        <v>0.6</v>
      </c>
      <c r="G3" s="5" t="s">
        <v>63</v>
      </c>
      <c r="H3" s="16">
        <v>1.1499999999999999</v>
      </c>
      <c r="I3" s="17">
        <f>IF(H3="","",(IF($C$20&lt;25%,"n/a",IF(H3&lt;=($D$20+$A$20),H3,"Descartado"))))</f>
        <v>1.1499999999999999</v>
      </c>
    </row>
    <row r="4" spans="1:9" x14ac:dyDescent="0.25">
      <c r="A4" s="38"/>
      <c r="B4" s="35"/>
      <c r="C4" s="36"/>
      <c r="D4" s="36"/>
      <c r="E4" s="37"/>
      <c r="F4" s="37"/>
      <c r="G4" s="5" t="s">
        <v>64</v>
      </c>
      <c r="H4" s="16">
        <v>0.6</v>
      </c>
      <c r="I4" s="17">
        <f t="shared" ref="I4:I17" si="0">IF(H4="","",(IF($C$20&lt;25%,"n/a",IF(H4&lt;=($D$20+$A$20),H4,"Descartado"))))</f>
        <v>0.6</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0.27682726262659335</v>
      </c>
      <c r="B20" s="8">
        <f>COUNT(H3:H17)</f>
        <v>3</v>
      </c>
      <c r="C20" s="9">
        <f>IF(B20&lt;2,"n/a",(A20/D20))</f>
        <v>0.31104186811976781</v>
      </c>
      <c r="D20" s="10">
        <f>IFERROR(ROUND(AVERAGE(H3:H17),2),"")</f>
        <v>0.89</v>
      </c>
      <c r="E20" s="15">
        <f>IFERROR(ROUND(IF(B20&lt;2,"n/a",(IF(C20&lt;=25%,"n/a",AVERAGE(I3:I17)))),2),"n/a")</f>
        <v>0.89</v>
      </c>
      <c r="F20" s="10">
        <f>IFERROR(ROUND(MEDIAN(H3:H17),2),"")</f>
        <v>0.93</v>
      </c>
      <c r="G20" s="11" t="str">
        <f>IFERROR(INDEX(G3:G17,MATCH(H20,H3:H17,0)),"")</f>
        <v>EGBA - EMPRESA GRÁFICA DA BAHIA</v>
      </c>
      <c r="H20" s="12">
        <f>F3</f>
        <v>0.6</v>
      </c>
    </row>
    <row r="22" spans="1:9" x14ac:dyDescent="0.25">
      <c r="G22" s="13" t="s">
        <v>20</v>
      </c>
      <c r="H22" s="14">
        <f>IF(C20&lt;=25%,D20,MIN(E20:F20))</f>
        <v>0.89</v>
      </c>
    </row>
    <row r="23" spans="1:9" x14ac:dyDescent="0.25">
      <c r="G23" s="13" t="s">
        <v>6</v>
      </c>
      <c r="H23" s="14">
        <f>ROUND(H22,2)*D3</f>
        <v>146430.81</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121</v>
      </c>
      <c r="C3" s="36" t="s">
        <v>7</v>
      </c>
      <c r="D3" s="40">
        <v>19000</v>
      </c>
      <c r="E3" s="37">
        <f>IF(C20&lt;=25%,D20,MIN(E20:F20))</f>
        <v>0.82</v>
      </c>
      <c r="F3" s="37">
        <f>MIN(H3:H17)</f>
        <v>0.7</v>
      </c>
      <c r="G3" s="5" t="s">
        <v>63</v>
      </c>
      <c r="H3" s="16">
        <v>1.3</v>
      </c>
      <c r="I3" s="17" t="str">
        <f>IF(H3="","",(IF($C$20&lt;25%,"n/a",IF(H3&lt;=($D$20+$A$20),H3,"Descartado"))))</f>
        <v>Descartado</v>
      </c>
    </row>
    <row r="4" spans="1:9" x14ac:dyDescent="0.25">
      <c r="A4" s="38"/>
      <c r="B4" s="35"/>
      <c r="C4" s="36"/>
      <c r="D4" s="36"/>
      <c r="E4" s="37"/>
      <c r="F4" s="37"/>
      <c r="G4" s="5" t="s">
        <v>64</v>
      </c>
      <c r="H4" s="16">
        <v>0.7</v>
      </c>
      <c r="I4" s="17">
        <f t="shared" ref="I4:I17" si="0">IF(H4="","",(IF($C$20&lt;25%,"n/a",IF(H4&lt;=($D$20+$A$20),H4,"Descartado"))))</f>
        <v>0.7</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0.30270998221620182</v>
      </c>
      <c r="B20" s="8">
        <f>COUNT(H3:H17)</f>
        <v>3</v>
      </c>
      <c r="C20" s="9">
        <f>IF(B20&lt;2,"n/a",(A20/D20))</f>
        <v>0.30888773695530797</v>
      </c>
      <c r="D20" s="10">
        <f>IFERROR(ROUND(AVERAGE(H3:H17),2),"")</f>
        <v>0.98</v>
      </c>
      <c r="E20" s="15">
        <f>IFERROR(ROUND(IF(B20&lt;2,"n/a",(IF(C20&lt;=25%,"n/a",AVERAGE(I3:I17)))),2),"n/a")</f>
        <v>0.82</v>
      </c>
      <c r="F20" s="10">
        <f>IFERROR(ROUND(MEDIAN(H3:H17),2),"")</f>
        <v>0.93</v>
      </c>
      <c r="G20" s="11" t="str">
        <f>IFERROR(INDEX(G3:G17,MATCH(H20,H3:H17,0)),"")</f>
        <v>EGBA - EMPRESA GRÁFICA DA BAHIA</v>
      </c>
      <c r="H20" s="12">
        <f>F3</f>
        <v>0.7</v>
      </c>
    </row>
    <row r="22" spans="1:9" x14ac:dyDescent="0.25">
      <c r="G22" s="13" t="s">
        <v>20</v>
      </c>
      <c r="H22" s="14">
        <f>IF(C20&lt;=25%,D20,MIN(E20:F20))</f>
        <v>0.82</v>
      </c>
    </row>
    <row r="23" spans="1:9" x14ac:dyDescent="0.25">
      <c r="G23" s="13" t="s">
        <v>6</v>
      </c>
      <c r="H23" s="14">
        <f>ROUND(H22,2)*D3</f>
        <v>15579.999999999998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105</v>
      </c>
      <c r="C3" s="36" t="s">
        <v>7</v>
      </c>
      <c r="D3" s="40">
        <v>50000</v>
      </c>
      <c r="E3" s="37">
        <f>IF(C20&lt;=25%,D20,MIN(E20:F20))</f>
        <v>1.26</v>
      </c>
      <c r="F3" s="37">
        <f>MIN(H3:H17)</f>
        <v>0.48</v>
      </c>
      <c r="G3" s="5" t="s">
        <v>65</v>
      </c>
      <c r="H3" s="16">
        <v>1.98</v>
      </c>
      <c r="I3" s="17">
        <f>IF(H3="","",(IF($C$20&lt;25%,"n/a",IF(H3&lt;=($D$20+$A$20),H3,"Descartado"))))</f>
        <v>1.98</v>
      </c>
    </row>
    <row r="4" spans="1:9" x14ac:dyDescent="0.25">
      <c r="A4" s="38"/>
      <c r="B4" s="35"/>
      <c r="C4" s="36"/>
      <c r="D4" s="36"/>
      <c r="E4" s="37"/>
      <c r="F4" s="37"/>
      <c r="G4" s="5" t="s">
        <v>66</v>
      </c>
      <c r="H4" s="16">
        <v>2</v>
      </c>
      <c r="I4" s="17">
        <f t="shared" ref="I4:I17" si="0">IF(H4="","",(IF($C$20&lt;25%,"n/a",IF(H4&lt;=($D$20+$A$20),H4,"Descartado"))))</f>
        <v>2</v>
      </c>
    </row>
    <row r="5" spans="1:9" x14ac:dyDescent="0.25">
      <c r="A5" s="38"/>
      <c r="B5" s="35"/>
      <c r="C5" s="36"/>
      <c r="D5" s="36"/>
      <c r="E5" s="37"/>
      <c r="F5" s="37"/>
      <c r="G5" s="5" t="s">
        <v>67</v>
      </c>
      <c r="H5" s="16">
        <v>3</v>
      </c>
      <c r="I5" s="17" t="str">
        <f t="shared" si="0"/>
        <v>Descartado</v>
      </c>
    </row>
    <row r="6" spans="1:9" x14ac:dyDescent="0.25">
      <c r="A6" s="38"/>
      <c r="B6" s="35"/>
      <c r="C6" s="36"/>
      <c r="D6" s="36"/>
      <c r="E6" s="37"/>
      <c r="F6" s="37"/>
      <c r="G6" s="5" t="s">
        <v>63</v>
      </c>
      <c r="H6" s="16">
        <v>0.57999999999999996</v>
      </c>
      <c r="I6" s="17">
        <f t="shared" si="0"/>
        <v>0.57999999999999996</v>
      </c>
    </row>
    <row r="7" spans="1:9" x14ac:dyDescent="0.25">
      <c r="A7" s="38"/>
      <c r="B7" s="35"/>
      <c r="C7" s="36"/>
      <c r="D7" s="36"/>
      <c r="E7" s="37"/>
      <c r="F7" s="37"/>
      <c r="G7" s="5" t="s">
        <v>64</v>
      </c>
      <c r="H7" s="16">
        <v>0.48</v>
      </c>
      <c r="I7" s="17">
        <f t="shared" si="0"/>
        <v>0.48</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1.0675766951371688</v>
      </c>
      <c r="B20" s="8">
        <f>COUNT(H3:H17)</f>
        <v>5</v>
      </c>
      <c r="C20" s="9">
        <f>IF(B20&lt;2,"n/a",(A20/D20))</f>
        <v>0.66309111499203022</v>
      </c>
      <c r="D20" s="10">
        <f>IFERROR(ROUND(AVERAGE(H3:H17),2),"")</f>
        <v>1.61</v>
      </c>
      <c r="E20" s="15">
        <f>IFERROR(ROUND(IF(B20&lt;2,"n/a",(IF(C20&lt;=25%,"n/a",AVERAGE(I3:I17)))),2),"n/a")</f>
        <v>1.26</v>
      </c>
      <c r="F20" s="10">
        <f>IFERROR(ROUND(MEDIAN(H3:H17),2),"")</f>
        <v>1.98</v>
      </c>
      <c r="G20" s="11" t="str">
        <f>IFERROR(INDEX(G3:G17,MATCH(H20,H3:H17,0)),"")</f>
        <v>EGBA - EMPRESA GRÁFICA DA BAHIA</v>
      </c>
      <c r="H20" s="12">
        <f>F3</f>
        <v>0.48</v>
      </c>
    </row>
    <row r="22" spans="1:9" x14ac:dyDescent="0.25">
      <c r="G22" s="13" t="s">
        <v>20</v>
      </c>
      <c r="H22" s="14">
        <f>IF(C20&lt;=25%,D20,MIN(E20:F20))</f>
        <v>1.26</v>
      </c>
    </row>
    <row r="23" spans="1:9" x14ac:dyDescent="0.25">
      <c r="G23" s="13" t="s">
        <v>6</v>
      </c>
      <c r="H23" s="14">
        <f>ROUND(H22,2)*D3</f>
        <v>63000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122</v>
      </c>
      <c r="C3" s="36" t="s">
        <v>7</v>
      </c>
      <c r="D3" s="40">
        <v>22000</v>
      </c>
      <c r="E3" s="37">
        <f>IF(C20&lt;=25%,D20,MIN(E20:F20))</f>
        <v>0.82</v>
      </c>
      <c r="F3" s="37">
        <f>MIN(H3:H17)</f>
        <v>0.7</v>
      </c>
      <c r="G3" s="5" t="s">
        <v>63</v>
      </c>
      <c r="H3" s="16">
        <v>1.29</v>
      </c>
      <c r="I3" s="17" t="str">
        <f>IF(H3="","",(IF($C$20&lt;25%,"n/a",IF(H3&lt;=($D$20+$A$20),H3,"Descartado"))))</f>
        <v>Descartado</v>
      </c>
    </row>
    <row r="4" spans="1:9" x14ac:dyDescent="0.25">
      <c r="A4" s="38"/>
      <c r="B4" s="35"/>
      <c r="C4" s="36"/>
      <c r="D4" s="36"/>
      <c r="E4" s="37"/>
      <c r="F4" s="37"/>
      <c r="G4" s="5" t="s">
        <v>64</v>
      </c>
      <c r="H4" s="16">
        <v>0.7</v>
      </c>
      <c r="I4" s="17">
        <f t="shared" ref="I4:I17" si="0">IF(H4="","",(IF($C$20&lt;25%,"n/a",IF(H4&lt;=($D$20+$A$20),H4,"Descartado"))))</f>
        <v>0.7</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0.297377425729213</v>
      </c>
      <c r="B20" s="8">
        <f>COUNT(H3:H17)</f>
        <v>3</v>
      </c>
      <c r="C20" s="9">
        <f>IF(B20&lt;2,"n/a",(A20/D20))</f>
        <v>0.30657466570021957</v>
      </c>
      <c r="D20" s="10">
        <f>IFERROR(ROUND(AVERAGE(H3:H17),2),"")</f>
        <v>0.97</v>
      </c>
      <c r="E20" s="15">
        <f>IFERROR(ROUND(IF(B20&lt;2,"n/a",(IF(C20&lt;=25%,"n/a",AVERAGE(I3:I17)))),2),"n/a")</f>
        <v>0.82</v>
      </c>
      <c r="F20" s="10">
        <f>IFERROR(ROUND(MEDIAN(H3:H17),2),"")</f>
        <v>0.93</v>
      </c>
      <c r="G20" s="11" t="str">
        <f>IFERROR(INDEX(G3:G17,MATCH(H20,H3:H17,0)),"")</f>
        <v>EGBA - EMPRESA GRÁFICA DA BAHIA</v>
      </c>
      <c r="H20" s="12">
        <f>F3</f>
        <v>0.7</v>
      </c>
    </row>
    <row r="22" spans="1:9" x14ac:dyDescent="0.25">
      <c r="G22" s="13" t="s">
        <v>20</v>
      </c>
      <c r="H22" s="14">
        <f>IF(C20&lt;=25%,D20,MIN(E20:F20))</f>
        <v>0.82</v>
      </c>
    </row>
    <row r="23" spans="1:9" x14ac:dyDescent="0.25">
      <c r="G23" s="13" t="s">
        <v>6</v>
      </c>
      <c r="H23" s="14">
        <f>ROUND(H22,2)*D3</f>
        <v>18040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123</v>
      </c>
      <c r="C3" s="36" t="s">
        <v>7</v>
      </c>
      <c r="D3" s="40">
        <v>1100</v>
      </c>
      <c r="E3" s="37">
        <f>IF(C20&lt;=25%,D20,MIN(E20:F20))</f>
        <v>0.86</v>
      </c>
      <c r="F3" s="37">
        <f>MIN(H3:H17)</f>
        <v>0.78</v>
      </c>
      <c r="G3" s="5" t="s">
        <v>63</v>
      </c>
      <c r="H3" s="16">
        <v>0.78</v>
      </c>
      <c r="I3" s="17">
        <f>IF(H3="","",(IF($C$20&lt;25%,"n/a",IF(H3&lt;=($D$20+$A$20),H3,"Descartado"))))</f>
        <v>0.78</v>
      </c>
    </row>
    <row r="4" spans="1:9" x14ac:dyDescent="0.25">
      <c r="A4" s="38"/>
      <c r="B4" s="35"/>
      <c r="C4" s="36"/>
      <c r="D4" s="36"/>
      <c r="E4" s="37"/>
      <c r="F4" s="37"/>
      <c r="G4" s="5" t="s">
        <v>64</v>
      </c>
      <c r="H4" s="16">
        <v>2.9</v>
      </c>
      <c r="I4" s="17" t="str">
        <f t="shared" ref="I4:I17" si="0">IF(H4="","",(IF($C$20&lt;25%,"n/a",IF(H4&lt;=($D$20+$A$20),H4,"Descartado"))))</f>
        <v>Descartado</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1.1830610015266898</v>
      </c>
      <c r="B20" s="8">
        <f>COUNT(H3:H17)</f>
        <v>3</v>
      </c>
      <c r="C20" s="9">
        <f>IF(B20&lt;2,"n/a",(A20/D20))</f>
        <v>0.76822142956278561</v>
      </c>
      <c r="D20" s="10">
        <f>IFERROR(ROUND(AVERAGE(H3:H17),2),"")</f>
        <v>1.54</v>
      </c>
      <c r="E20" s="15">
        <f>IFERROR(ROUND(IF(B20&lt;2,"n/a",(IF(C20&lt;=25%,"n/a",AVERAGE(I3:I17)))),2),"n/a")</f>
        <v>0.86</v>
      </c>
      <c r="F20" s="10">
        <f>IFERROR(ROUND(MEDIAN(H3:H17),2),"")</f>
        <v>0.93</v>
      </c>
      <c r="G20" s="11" t="str">
        <f>IFERROR(INDEX(G3:G17,MATCH(H20,H3:H17,0)),"")</f>
        <v>GRÁFICA SANTA BÁRBARA LTDA</v>
      </c>
      <c r="H20" s="12">
        <f>F3</f>
        <v>0.78</v>
      </c>
    </row>
    <row r="22" spans="1:9" x14ac:dyDescent="0.25">
      <c r="G22" s="13" t="s">
        <v>20</v>
      </c>
      <c r="H22" s="14">
        <f>IF(C20&lt;=25%,D20,MIN(E20:F20))</f>
        <v>0.86</v>
      </c>
    </row>
    <row r="23" spans="1:9" x14ac:dyDescent="0.25">
      <c r="G23" s="13" t="s">
        <v>6</v>
      </c>
      <c r="H23" s="14">
        <f>ROUND(H22,2)*D3</f>
        <v>946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124</v>
      </c>
      <c r="C3" s="36" t="s">
        <v>7</v>
      </c>
      <c r="D3" s="40">
        <v>10355</v>
      </c>
      <c r="E3" s="37">
        <f>IF(C20&lt;=25%,D20,MIN(E20:F20))</f>
        <v>0.84</v>
      </c>
      <c r="F3" s="37">
        <f>MIN(H3:H17)</f>
        <v>0.75</v>
      </c>
      <c r="G3" s="5" t="s">
        <v>63</v>
      </c>
      <c r="H3" s="16">
        <v>1.38</v>
      </c>
      <c r="I3" s="17" t="str">
        <f>IF(H3="","",(IF($C$20&lt;25%,"n/a",IF(H3&lt;=($D$20+$A$20),H3,"Descartado"))))</f>
        <v>Descartado</v>
      </c>
    </row>
    <row r="4" spans="1:9" x14ac:dyDescent="0.25">
      <c r="A4" s="38"/>
      <c r="B4" s="35"/>
      <c r="C4" s="36"/>
      <c r="D4" s="36"/>
      <c r="E4" s="37"/>
      <c r="F4" s="37"/>
      <c r="G4" s="5" t="s">
        <v>64</v>
      </c>
      <c r="H4" s="16">
        <v>0.75</v>
      </c>
      <c r="I4" s="17">
        <f t="shared" ref="I4:I17" si="0">IF(H4="","",(IF($C$20&lt;25%,"n/a",IF(H4&lt;=($D$20+$A$20),H4,"Descartado"))))</f>
        <v>0.75</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0.32449961479175898</v>
      </c>
      <c r="B20" s="8">
        <f>COUNT(H3:H17)</f>
        <v>3</v>
      </c>
      <c r="C20" s="9">
        <f>IF(B20&lt;2,"n/a",(A20/D20))</f>
        <v>0.31813687724682255</v>
      </c>
      <c r="D20" s="10">
        <f>IFERROR(ROUND(AVERAGE(H3:H17),2),"")</f>
        <v>1.02</v>
      </c>
      <c r="E20" s="15">
        <f>IFERROR(ROUND(IF(B20&lt;2,"n/a",(IF(C20&lt;=25%,"n/a",AVERAGE(I3:I17)))),2),"n/a")</f>
        <v>0.84</v>
      </c>
      <c r="F20" s="10">
        <f>IFERROR(ROUND(MEDIAN(H3:H17),2),"")</f>
        <v>0.93</v>
      </c>
      <c r="G20" s="11" t="str">
        <f>IFERROR(INDEX(G3:G17,MATCH(H20,H3:H17,0)),"")</f>
        <v>EGBA - EMPRESA GRÁFICA DA BAHIA</v>
      </c>
      <c r="H20" s="12">
        <f>F3</f>
        <v>0.75</v>
      </c>
    </row>
    <row r="22" spans="1:9" x14ac:dyDescent="0.25">
      <c r="G22" s="13" t="s">
        <v>20</v>
      </c>
      <c r="H22" s="14">
        <f>IF(C20&lt;=25%,D20,MIN(E20:F20))</f>
        <v>0.84</v>
      </c>
    </row>
    <row r="23" spans="1:9" x14ac:dyDescent="0.25">
      <c r="G23" s="13" t="s">
        <v>6</v>
      </c>
      <c r="H23" s="14">
        <f>ROUND(H22,2)*D3</f>
        <v>8698.1999999999989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125</v>
      </c>
      <c r="C3" s="36" t="s">
        <v>7</v>
      </c>
      <c r="D3" s="36">
        <v>300</v>
      </c>
      <c r="E3" s="37">
        <f>IF(C20&lt;=25%,D20,MIN(E20:F20))</f>
        <v>0.97</v>
      </c>
      <c r="F3" s="37">
        <f>MIN(H3:H17)</f>
        <v>0.93</v>
      </c>
      <c r="G3" s="5" t="s">
        <v>63</v>
      </c>
      <c r="H3" s="16">
        <v>7.85</v>
      </c>
      <c r="I3" s="17" t="str">
        <f>IF(H3="","",(IF($C$20&lt;25%,"n/a",IF(H3&lt;=($D$20+$A$20),H3,"Descartado"))))</f>
        <v>Descartado</v>
      </c>
    </row>
    <row r="4" spans="1:9" x14ac:dyDescent="0.25">
      <c r="A4" s="38"/>
      <c r="B4" s="35"/>
      <c r="C4" s="36"/>
      <c r="D4" s="36"/>
      <c r="E4" s="37"/>
      <c r="F4" s="37"/>
      <c r="G4" s="5" t="s">
        <v>64</v>
      </c>
      <c r="H4" s="16">
        <v>1</v>
      </c>
      <c r="I4" s="17">
        <f t="shared" ref="I4:I17" si="0">IF(H4="","",(IF($C$20&lt;25%,"n/a",IF(H4&lt;=($D$20+$A$20),H4,"Descartado"))))</f>
        <v>1</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3.9752106862404162</v>
      </c>
      <c r="B20" s="8">
        <f>COUNT(H3:H17)</f>
        <v>3</v>
      </c>
      <c r="C20" s="9">
        <f>IF(B20&lt;2,"n/a",(A20/D20))</f>
        <v>1.2193897810553425</v>
      </c>
      <c r="D20" s="10">
        <f>IFERROR(ROUND(AVERAGE(H3:H17),2),"")</f>
        <v>3.26</v>
      </c>
      <c r="E20" s="15">
        <f>IFERROR(ROUND(IF(B20&lt;2,"n/a",(IF(C20&lt;=25%,"n/a",AVERAGE(I3:I17)))),2),"n/a")</f>
        <v>0.97</v>
      </c>
      <c r="F20" s="10">
        <f>IFERROR(ROUND(MEDIAN(H3:H17),2),"")</f>
        <v>1</v>
      </c>
      <c r="G20" s="11" t="str">
        <f>IFERROR(INDEX(G3:G17,MATCH(H20,H3:H17,0)),"")</f>
        <v>ADLX SOLUÇÕES LTDA</v>
      </c>
      <c r="H20" s="12">
        <f>F3</f>
        <v>0.93</v>
      </c>
    </row>
    <row r="22" spans="1:9" x14ac:dyDescent="0.25">
      <c r="G22" s="13" t="s">
        <v>20</v>
      </c>
      <c r="H22" s="14">
        <f>IF(C20&lt;=25%,D20,MIN(E20:F20))</f>
        <v>0.97</v>
      </c>
    </row>
    <row r="23" spans="1:9" x14ac:dyDescent="0.25">
      <c r="G23" s="13" t="s">
        <v>6</v>
      </c>
      <c r="H23" s="14">
        <f>ROUND(H22,2)*D3</f>
        <v>291</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126</v>
      </c>
      <c r="C3" s="36" t="s">
        <v>7</v>
      </c>
      <c r="D3" s="36">
        <v>5</v>
      </c>
      <c r="E3" s="37">
        <f>IF(C20&lt;=25%,D20,MIN(E20:F20))</f>
        <v>9.9700000000000006</v>
      </c>
      <c r="F3" s="37">
        <f>MIN(H3:H17)</f>
        <v>0.93</v>
      </c>
      <c r="G3" s="5" t="s">
        <v>63</v>
      </c>
      <c r="H3" s="16">
        <v>160</v>
      </c>
      <c r="I3" s="17" t="str">
        <f>IF(H3="","",(IF($C$20&lt;25%,"n/a",IF(H3&lt;=($D$20+$A$20),H3,"Descartado"))))</f>
        <v>Descartado</v>
      </c>
    </row>
    <row r="4" spans="1:9" x14ac:dyDescent="0.25">
      <c r="A4" s="38"/>
      <c r="B4" s="35"/>
      <c r="C4" s="36"/>
      <c r="D4" s="36"/>
      <c r="E4" s="37"/>
      <c r="F4" s="37"/>
      <c r="G4" s="5" t="s">
        <v>64</v>
      </c>
      <c r="H4" s="16">
        <v>19</v>
      </c>
      <c r="I4" s="17">
        <f t="shared" ref="I4:I17" si="0">IF(H4="","",(IF($C$20&lt;25%,"n/a",IF(H4&lt;=($D$20+$A$20),H4,"Descartado"))))</f>
        <v>19</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87.092661191017314</v>
      </c>
      <c r="B20" s="8">
        <f>COUNT(H3:H17)</f>
        <v>3</v>
      </c>
      <c r="C20" s="9">
        <f>IF(B20&lt;2,"n/a",(A20/D20))</f>
        <v>1.4520283626378345</v>
      </c>
      <c r="D20" s="10">
        <f>IFERROR(ROUND(AVERAGE(H3:H17),2),"")</f>
        <v>59.98</v>
      </c>
      <c r="E20" s="15">
        <f>IFERROR(ROUND(IF(B20&lt;2,"n/a",(IF(C20&lt;=25%,"n/a",AVERAGE(I3:I17)))),2),"n/a")</f>
        <v>9.9700000000000006</v>
      </c>
      <c r="F20" s="10">
        <f>IFERROR(ROUND(MEDIAN(H3:H17),2),"")</f>
        <v>19</v>
      </c>
      <c r="G20" s="11" t="str">
        <f>IFERROR(INDEX(G3:G17,MATCH(H20,H3:H17,0)),"")</f>
        <v>ADLX SOLUÇÕES LTDA</v>
      </c>
      <c r="H20" s="12">
        <f>F3</f>
        <v>0.93</v>
      </c>
    </row>
    <row r="22" spans="1:9" x14ac:dyDescent="0.25">
      <c r="G22" s="13" t="s">
        <v>20</v>
      </c>
      <c r="H22" s="14">
        <f>IF(C20&lt;=25%,D20,MIN(E20:F20))</f>
        <v>9.9700000000000006</v>
      </c>
    </row>
    <row r="23" spans="1:9" x14ac:dyDescent="0.25">
      <c r="G23" s="13" t="s">
        <v>6</v>
      </c>
      <c r="H23" s="14">
        <f>ROUND(H22,2)*D3</f>
        <v>49.85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127</v>
      </c>
      <c r="C3" s="36" t="s">
        <v>7</v>
      </c>
      <c r="D3" s="36">
        <v>5</v>
      </c>
      <c r="E3" s="37">
        <f>IF(C20&lt;=25%,D20,MIN(E20:F20))</f>
        <v>9.9700000000000006</v>
      </c>
      <c r="F3" s="37">
        <f>MIN(H3:H17)</f>
        <v>0.93</v>
      </c>
      <c r="G3" s="5" t="s">
        <v>63</v>
      </c>
      <c r="H3" s="16">
        <v>160</v>
      </c>
      <c r="I3" s="17" t="str">
        <f>IF(H3="","",(IF($C$20&lt;25%,"n/a",IF(H3&lt;=($D$20+$A$20),H3,"Descartado"))))</f>
        <v>Descartado</v>
      </c>
    </row>
    <row r="4" spans="1:9" x14ac:dyDescent="0.25">
      <c r="A4" s="38"/>
      <c r="B4" s="35"/>
      <c r="C4" s="36"/>
      <c r="D4" s="36"/>
      <c r="E4" s="37"/>
      <c r="F4" s="37"/>
      <c r="G4" s="5" t="s">
        <v>64</v>
      </c>
      <c r="H4" s="16">
        <v>19</v>
      </c>
      <c r="I4" s="17">
        <f t="shared" ref="I4:I17" si="0">IF(H4="","",(IF($C$20&lt;25%,"n/a",IF(H4&lt;=($D$20+$A$20),H4,"Descartado"))))</f>
        <v>19</v>
      </c>
    </row>
    <row r="5" spans="1:9" x14ac:dyDescent="0.25">
      <c r="A5" s="38"/>
      <c r="B5" s="35"/>
      <c r="C5" s="36"/>
      <c r="D5" s="36"/>
      <c r="E5" s="37"/>
      <c r="F5" s="37"/>
      <c r="G5" s="5" t="s">
        <v>103</v>
      </c>
      <c r="H5" s="16">
        <v>0.93</v>
      </c>
      <c r="I5" s="17">
        <f t="shared" si="0"/>
        <v>0.93</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87.092661191017314</v>
      </c>
      <c r="B20" s="8">
        <f>COUNT(H3:H17)</f>
        <v>3</v>
      </c>
      <c r="C20" s="9">
        <f>IF(B20&lt;2,"n/a",(A20/D20))</f>
        <v>1.4520283626378345</v>
      </c>
      <c r="D20" s="10">
        <f>IFERROR(ROUND(AVERAGE(H3:H17),2),"")</f>
        <v>59.98</v>
      </c>
      <c r="E20" s="15">
        <f>IFERROR(ROUND(IF(B20&lt;2,"n/a",(IF(C20&lt;=25%,"n/a",AVERAGE(I3:I17)))),2),"n/a")</f>
        <v>9.9700000000000006</v>
      </c>
      <c r="F20" s="10">
        <f>IFERROR(ROUND(MEDIAN(H3:H17),2),"")</f>
        <v>19</v>
      </c>
      <c r="G20" s="11" t="str">
        <f>IFERROR(INDEX(G3:G17,MATCH(H20,H3:H17,0)),"")</f>
        <v>ADLX SOLUÇÕES LTDA</v>
      </c>
      <c r="H20" s="12">
        <f>F3</f>
        <v>0.93</v>
      </c>
    </row>
    <row r="22" spans="1:9" x14ac:dyDescent="0.25">
      <c r="G22" s="13" t="s">
        <v>20</v>
      </c>
      <c r="H22" s="14">
        <f>IF(C20&lt;=25%,D20,MIN(E20:F20))</f>
        <v>9.9700000000000006</v>
      </c>
    </row>
    <row r="23" spans="1:9" x14ac:dyDescent="0.25">
      <c r="G23" s="13" t="s">
        <v>6</v>
      </c>
      <c r="H23" s="14">
        <f>ROUND(H22,2)*D3</f>
        <v>49.85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34</v>
      </c>
      <c r="C3" s="36" t="s">
        <v>7</v>
      </c>
      <c r="D3" s="36">
        <v>4</v>
      </c>
      <c r="E3" s="37">
        <f>IF(C20&lt;=25%,D20,MIN(E20:F20))</f>
        <v>314.5</v>
      </c>
      <c r="F3" s="37">
        <f>MIN(H3:H17)</f>
        <v>149.97</v>
      </c>
      <c r="G3" s="5" t="s">
        <v>43</v>
      </c>
      <c r="H3" s="16">
        <v>1257</v>
      </c>
      <c r="I3" s="17" t="str">
        <f>IF(H3="","",(IF($C$20&lt;25%,"n/a",IF(H3&lt;=($D$20+$A$20),H3,"Descartado"))))</f>
        <v>Descartado</v>
      </c>
    </row>
    <row r="4" spans="1:9" x14ac:dyDescent="0.25">
      <c r="A4" s="38"/>
      <c r="B4" s="35"/>
      <c r="C4" s="36"/>
      <c r="D4" s="36"/>
      <c r="E4" s="37"/>
      <c r="F4" s="37"/>
      <c r="G4" s="5" t="s">
        <v>37</v>
      </c>
      <c r="H4" s="16">
        <v>160</v>
      </c>
      <c r="I4" s="17">
        <f t="shared" ref="I4:I17" si="0">IF(H4="","",(IF($C$20&lt;25%,"n/a",IF(H4&lt;=($D$20+$A$20),H4,"Descartado"))))</f>
        <v>160</v>
      </c>
    </row>
    <row r="5" spans="1:9" x14ac:dyDescent="0.25">
      <c r="A5" s="38"/>
      <c r="B5" s="35"/>
      <c r="C5" s="36"/>
      <c r="D5" s="36"/>
      <c r="E5" s="37"/>
      <c r="F5" s="37"/>
      <c r="G5" s="5" t="s">
        <v>44</v>
      </c>
      <c r="H5" s="16">
        <v>330</v>
      </c>
      <c r="I5" s="17">
        <f t="shared" si="0"/>
        <v>330</v>
      </c>
    </row>
    <row r="6" spans="1:9" x14ac:dyDescent="0.25">
      <c r="A6" s="38"/>
      <c r="B6" s="35"/>
      <c r="C6" s="36"/>
      <c r="D6" s="36"/>
      <c r="E6" s="37"/>
      <c r="F6" s="37"/>
      <c r="G6" s="5" t="s">
        <v>39</v>
      </c>
      <c r="H6" s="16">
        <v>259</v>
      </c>
      <c r="I6" s="17">
        <f t="shared" si="0"/>
        <v>259</v>
      </c>
    </row>
    <row r="7" spans="1:9" x14ac:dyDescent="0.25">
      <c r="A7" s="38"/>
      <c r="B7" s="35"/>
      <c r="C7" s="36"/>
      <c r="D7" s="36"/>
      <c r="E7" s="37"/>
      <c r="F7" s="37"/>
      <c r="G7" s="5" t="s">
        <v>40</v>
      </c>
      <c r="H7" s="16">
        <v>1000</v>
      </c>
      <c r="I7" s="17">
        <f t="shared" si="0"/>
        <v>1000</v>
      </c>
    </row>
    <row r="8" spans="1:9" x14ac:dyDescent="0.25">
      <c r="A8" s="38"/>
      <c r="B8" s="35"/>
      <c r="C8" s="36"/>
      <c r="D8" s="36"/>
      <c r="E8" s="37"/>
      <c r="F8" s="37"/>
      <c r="G8" s="5" t="s">
        <v>45</v>
      </c>
      <c r="H8" s="16">
        <v>177.5</v>
      </c>
      <c r="I8" s="17">
        <f t="shared" si="0"/>
        <v>177.5</v>
      </c>
    </row>
    <row r="9" spans="1:9" x14ac:dyDescent="0.25">
      <c r="A9" s="38"/>
      <c r="B9" s="35"/>
      <c r="C9" s="36"/>
      <c r="D9" s="36"/>
      <c r="E9" s="37"/>
      <c r="F9" s="37"/>
      <c r="G9" s="5" t="s">
        <v>38</v>
      </c>
      <c r="H9" s="16">
        <v>160</v>
      </c>
      <c r="I9" s="17">
        <f t="shared" si="0"/>
        <v>160</v>
      </c>
    </row>
    <row r="10" spans="1:9" x14ac:dyDescent="0.25">
      <c r="A10" s="38"/>
      <c r="B10" s="35"/>
      <c r="C10" s="36"/>
      <c r="D10" s="36"/>
      <c r="E10" s="37"/>
      <c r="F10" s="37"/>
      <c r="G10" s="5" t="s">
        <v>46</v>
      </c>
      <c r="H10" s="16">
        <v>1342</v>
      </c>
      <c r="I10" s="17" t="str">
        <f t="shared" si="0"/>
        <v>Descartado</v>
      </c>
    </row>
    <row r="11" spans="1:9" x14ac:dyDescent="0.25">
      <c r="A11" s="38"/>
      <c r="B11" s="35"/>
      <c r="C11" s="36"/>
      <c r="D11" s="36"/>
      <c r="E11" s="37"/>
      <c r="F11" s="37"/>
      <c r="G11" s="5" t="s">
        <v>47</v>
      </c>
      <c r="H11" s="16">
        <v>1650</v>
      </c>
      <c r="I11" s="17" t="str">
        <f t="shared" si="0"/>
        <v>Descartado</v>
      </c>
    </row>
    <row r="12" spans="1:9" x14ac:dyDescent="0.25">
      <c r="A12" s="38"/>
      <c r="B12" s="35"/>
      <c r="C12" s="36"/>
      <c r="D12" s="36"/>
      <c r="E12" s="37"/>
      <c r="F12" s="37"/>
      <c r="G12" s="5" t="s">
        <v>42</v>
      </c>
      <c r="H12" s="16">
        <v>149.97</v>
      </c>
      <c r="I12" s="17">
        <f t="shared" si="0"/>
        <v>149.97</v>
      </c>
    </row>
    <row r="13" spans="1:9" x14ac:dyDescent="0.25">
      <c r="A13" s="38"/>
      <c r="B13" s="35"/>
      <c r="C13" s="36"/>
      <c r="D13" s="36"/>
      <c r="E13" s="37"/>
      <c r="F13" s="37"/>
      <c r="G13" s="5" t="s">
        <v>52</v>
      </c>
      <c r="H13" s="16">
        <v>299</v>
      </c>
      <c r="I13" s="17">
        <f t="shared" si="0"/>
        <v>299</v>
      </c>
    </row>
    <row r="14" spans="1:9" x14ac:dyDescent="0.25">
      <c r="A14" s="38"/>
      <c r="B14" s="35"/>
      <c r="C14" s="36"/>
      <c r="D14" s="36"/>
      <c r="E14" s="37"/>
      <c r="F14" s="37"/>
      <c r="G14" s="5" t="s">
        <v>54</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35</v>
      </c>
      <c r="C3" s="36" t="s">
        <v>7</v>
      </c>
      <c r="D3" s="36">
        <v>2</v>
      </c>
      <c r="E3" s="37">
        <f>IF(C20&lt;=25%,D20,MIN(E20:F20))</f>
        <v>2336.66</v>
      </c>
      <c r="F3" s="37">
        <f>MIN(H3:H17)</f>
        <v>985</v>
      </c>
      <c r="G3" s="5" t="s">
        <v>44</v>
      </c>
      <c r="H3" s="16">
        <v>985</v>
      </c>
      <c r="I3" s="17">
        <f>IF(H3="","",(IF($C$20&lt;25%,"n/a",IF(H3&lt;=($D$20+$A$20),H3,"Descartado"))))</f>
        <v>985</v>
      </c>
    </row>
    <row r="4" spans="1:9" x14ac:dyDescent="0.25">
      <c r="A4" s="38"/>
      <c r="B4" s="35"/>
      <c r="C4" s="36"/>
      <c r="D4" s="36"/>
      <c r="E4" s="37"/>
      <c r="F4" s="37"/>
      <c r="G4" s="5" t="s">
        <v>48</v>
      </c>
      <c r="H4" s="16">
        <v>1750</v>
      </c>
      <c r="I4" s="17">
        <f t="shared" ref="I4:I17" si="0">IF(H4="","",(IF($C$20&lt;25%,"n/a",IF(H4&lt;=($D$20+$A$20),H4,"Descartado"))))</f>
        <v>1750</v>
      </c>
    </row>
    <row r="5" spans="1:9" x14ac:dyDescent="0.25">
      <c r="A5" s="38"/>
      <c r="B5" s="35"/>
      <c r="C5" s="36"/>
      <c r="D5" s="36"/>
      <c r="E5" s="37"/>
      <c r="F5" s="37"/>
      <c r="G5" s="5" t="s">
        <v>49</v>
      </c>
      <c r="H5" s="16">
        <v>3775.12</v>
      </c>
      <c r="I5" s="17" t="str">
        <f t="shared" si="0"/>
        <v>Descartado</v>
      </c>
    </row>
    <row r="6" spans="1:9" x14ac:dyDescent="0.25">
      <c r="A6" s="38"/>
      <c r="B6" s="35"/>
      <c r="C6" s="36"/>
      <c r="D6" s="36"/>
      <c r="E6" s="37"/>
      <c r="F6" s="37"/>
      <c r="G6" s="5" t="s">
        <v>37</v>
      </c>
      <c r="H6" s="16">
        <v>1449.99</v>
      </c>
      <c r="I6" s="17">
        <f t="shared" si="0"/>
        <v>1449.99</v>
      </c>
    </row>
    <row r="7" spans="1:9" x14ac:dyDescent="0.25">
      <c r="A7" s="38"/>
      <c r="B7" s="35"/>
      <c r="C7" s="36"/>
      <c r="D7" s="36"/>
      <c r="E7" s="37"/>
      <c r="F7" s="37"/>
      <c r="G7" s="5" t="s">
        <v>41</v>
      </c>
      <c r="H7" s="16">
        <v>1738.77</v>
      </c>
      <c r="I7" s="17">
        <f t="shared" si="0"/>
        <v>1738.77</v>
      </c>
    </row>
    <row r="8" spans="1:9" x14ac:dyDescent="0.25">
      <c r="A8" s="38"/>
      <c r="B8" s="35"/>
      <c r="C8" s="36"/>
      <c r="D8" s="36"/>
      <c r="E8" s="37"/>
      <c r="F8" s="37"/>
      <c r="G8" s="5" t="s">
        <v>50</v>
      </c>
      <c r="H8" s="16">
        <v>2582</v>
      </c>
      <c r="I8" s="17">
        <f t="shared" si="0"/>
        <v>2582</v>
      </c>
    </row>
    <row r="9" spans="1:9" x14ac:dyDescent="0.25">
      <c r="A9" s="38"/>
      <c r="B9" s="35"/>
      <c r="C9" s="36"/>
      <c r="D9" s="36"/>
      <c r="E9" s="37"/>
      <c r="F9" s="37"/>
      <c r="G9" s="5" t="s">
        <v>55</v>
      </c>
      <c r="H9" s="16">
        <v>3179.25</v>
      </c>
      <c r="I9" s="17">
        <f t="shared" si="0"/>
        <v>3179.25</v>
      </c>
    </row>
    <row r="10" spans="1:9" x14ac:dyDescent="0.25">
      <c r="A10" s="38"/>
      <c r="B10" s="35"/>
      <c r="C10" s="36"/>
      <c r="D10" s="36"/>
      <c r="E10" s="37"/>
      <c r="F10" s="37"/>
      <c r="G10" s="5" t="s">
        <v>51</v>
      </c>
      <c r="H10" s="16">
        <v>3484.8</v>
      </c>
      <c r="I10" s="17">
        <f t="shared" si="0"/>
        <v>3484.8</v>
      </c>
    </row>
    <row r="11" spans="1:9" x14ac:dyDescent="0.25">
      <c r="A11" s="38"/>
      <c r="B11" s="35"/>
      <c r="C11" s="36"/>
      <c r="D11" s="36"/>
      <c r="E11" s="37"/>
      <c r="F11" s="37"/>
      <c r="G11" s="5" t="s">
        <v>53</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topLeftCell="A9" zoomScaleNormal="100" zoomScaleSheetLayoutView="100" workbookViewId="0">
      <selection activeCell="J46" sqref="J46"/>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180" x14ac:dyDescent="0.25">
      <c r="A3" s="25" t="s">
        <v>36</v>
      </c>
      <c r="B3" s="25">
        <f>Item1!A3</f>
        <v>1</v>
      </c>
      <c r="C3" s="27" t="str">
        <f>Item1!B3</f>
        <v>Cartilha para Mesários
Papel capa e miolo: AP 75g/m²
Total estimado de páginas (capa e miolo): até 36 (trinta e seis) páginas
Formato fechado: A4
Formato aberto: A3
Acabamento: com grampos
Padrão de cor: 4/4 (CMYK)
Embalagem: em caixas de papelão resistentes, com capacidade máxima de 30 (trinta) quilogramas.
MLH = milheiro</v>
      </c>
      <c r="D3" s="25" t="str">
        <f>Item1!C3</f>
        <v>milheiro</v>
      </c>
      <c r="E3" s="25">
        <f>Item1!D3</f>
        <v>60</v>
      </c>
      <c r="F3" s="26">
        <f>Item1!E3</f>
        <v>5172.8599999999997</v>
      </c>
      <c r="G3" s="26">
        <f>ROUND((E3*F3),2)</f>
        <v>310371.59999999998</v>
      </c>
    </row>
    <row r="4" spans="1:7" ht="60" x14ac:dyDescent="0.25">
      <c r="A4" s="25" t="s">
        <v>36</v>
      </c>
      <c r="B4" s="25">
        <f>Item2!A3</f>
        <v>2</v>
      </c>
      <c r="C4" s="27" t="str">
        <f>Item2!B3</f>
        <v xml:space="preserve">Diploma
Dimensões: 350 mm X 245 mm
Lâminas em 4 X 0 cores em Opaline 180 g </v>
      </c>
      <c r="D4" s="25" t="str">
        <f>Item2!C3</f>
        <v>unidade</v>
      </c>
      <c r="E4" s="25">
        <f>Item2!D3</f>
        <v>50000</v>
      </c>
      <c r="F4" s="26">
        <f>Item2!E3</f>
        <v>1.26</v>
      </c>
      <c r="G4" s="26">
        <f t="shared" ref="G4:G27" si="0">ROUND((E4*F4),2)</f>
        <v>63000</v>
      </c>
    </row>
    <row r="5" spans="1:7" ht="165" x14ac:dyDescent="0.25">
      <c r="A5" s="25" t="s">
        <v>36</v>
      </c>
      <c r="B5" s="25">
        <f>Item3!A3</f>
        <v>3</v>
      </c>
      <c r="C5" s="27" t="str">
        <f>Item3!B3</f>
        <v xml:space="preserve">Cédula de votação – Prefeito
Gramatura: 75g/m2.
Especificação: papel opaco na cor AMARELA com impressão em preto e branco - frente/verso, dimensões: altura de 84 mm x largura 191 mm (largura após a dobra de 84 mm), conforme modelo.
Embalagem: pacote com 500 cédulas, embaladas em plástico transparente.
PCT = pacote </v>
      </c>
      <c r="D5" s="25" t="str">
        <f>Item3!C3</f>
        <v>pacote</v>
      </c>
      <c r="E5" s="25">
        <f>Item3!D3</f>
        <v>4962</v>
      </c>
      <c r="F5" s="26">
        <f>Item3!E3</f>
        <v>25</v>
      </c>
      <c r="G5" s="26">
        <f t="shared" si="0"/>
        <v>124050</v>
      </c>
    </row>
    <row r="6" spans="1:7" ht="165" x14ac:dyDescent="0.25">
      <c r="A6" s="25" t="s">
        <v>36</v>
      </c>
      <c r="B6" s="25">
        <f>Item4!A3</f>
        <v>4</v>
      </c>
      <c r="C6" s="27" t="str">
        <f>Item4!B3</f>
        <v xml:space="preserve">Cédula de votação – Vereador
Gramatura: 75g/m2.
Especificação: papel opaco na cor BRANCA com impressão em preto e branco - frente/verso, dimensões: altura de 84 mm x largura 191 mm (largura após a dobra de 84 mm), conforme modelo.
Embalagem: pacote com 500 cédulas, embaladas em plástico transparente.
PCT = pacote </v>
      </c>
      <c r="D6" s="25" t="str">
        <f>Item4!C3</f>
        <v>pacote</v>
      </c>
      <c r="E6" s="25">
        <f>Item4!D3</f>
        <v>4113</v>
      </c>
      <c r="F6" s="26">
        <f>Item4!E3</f>
        <v>25</v>
      </c>
      <c r="G6" s="26">
        <f t="shared" si="0"/>
        <v>102825</v>
      </c>
    </row>
    <row r="7" spans="1:7" ht="255" x14ac:dyDescent="0.25">
      <c r="A7" s="25" t="s">
        <v>36</v>
      </c>
      <c r="B7" s="25">
        <f>Item5!A3</f>
        <v>5</v>
      </c>
      <c r="C7" s="27" t="str">
        <f>Item5!B3</f>
        <v>Cédula de votação – Contingência Consulta Popular (se houver) ou Eleições Suplementares (se houver)
Gramatura: 75g/m2.
Especificação: papel opaco e uma única cor, que pode ser CINZA, VERDE, ROSA ou AZUL, conforme se trate de consulta popular de abrangência federal, estadual ou municipal, ou eleições suplementares, respectivamente,  com impressão em preto e branco - frente/verso, dimensões: altura de 84 mm x largura 191 mm (largura após a dobra de 84 mm), conforme modelo.
Embalagem: pacote com 500 cédulas, embaladas em plástico transparente.
PCT = pacote</v>
      </c>
      <c r="D7" s="25" t="str">
        <f>Item5!C3</f>
        <v>pacote</v>
      </c>
      <c r="E7" s="25">
        <f>Item5!D3</f>
        <v>5000</v>
      </c>
      <c r="F7" s="26">
        <f>Item5!E3</f>
        <v>25</v>
      </c>
      <c r="G7" s="26">
        <f t="shared" si="0"/>
        <v>125000</v>
      </c>
    </row>
    <row r="8" spans="1:7" ht="135" x14ac:dyDescent="0.25">
      <c r="A8" s="25" t="s">
        <v>36</v>
      </c>
      <c r="B8" s="25">
        <f>Item6!A3</f>
        <v>6</v>
      </c>
      <c r="C8" s="27" t="str">
        <f>Item6!B3</f>
        <v>Senha modelo 7
Formato: 65 mm x 55 mm (largura x altura).
Gramatura: 50g/m2 (papel jornal).
Especificação: senha com impressão em preto na frente.
Embalagem: pacote com 50 senhas, embaladas em plástico transparente.
PCT = pacote</v>
      </c>
      <c r="D8" s="25" t="str">
        <f>Item6!C3</f>
        <v>pacote</v>
      </c>
      <c r="E8" s="25">
        <f>Item6!D3</f>
        <v>75000</v>
      </c>
      <c r="F8" s="26">
        <f>Item6!E3</f>
        <v>0.68</v>
      </c>
      <c r="G8" s="26">
        <f t="shared" si="0"/>
        <v>51000</v>
      </c>
    </row>
    <row r="9" spans="1:7" ht="165" x14ac:dyDescent="0.25">
      <c r="A9" s="25" t="s">
        <v>36</v>
      </c>
      <c r="B9" s="25">
        <f>Item7!A3</f>
        <v>7</v>
      </c>
      <c r="C9" s="27" t="str">
        <f>Item7!B3</f>
        <v>Formulário Requerimento de Justificativa Eleitoral 
Papel: AP 75g/m2
Dimensões: 29,5 cm X 8,5 cm
Impressão: em preto e branco
Serrilha: vertical, para fácil destaque entre a via da Justiça Eleitoral e o comprovante do eleitor.
Embalagem: pacote com 500 unidades, embaladas em plástico transparente.
PCT = pacote</v>
      </c>
      <c r="D9" s="25" t="str">
        <f>Item7!C3</f>
        <v>pacote</v>
      </c>
      <c r="E9" s="25">
        <f>Item7!D3</f>
        <v>5000</v>
      </c>
      <c r="F9" s="26">
        <f>Item7!E3</f>
        <v>50</v>
      </c>
      <c r="G9" s="26">
        <f t="shared" si="0"/>
        <v>250000</v>
      </c>
    </row>
    <row r="10" spans="1:7" ht="165" x14ac:dyDescent="0.25">
      <c r="A10" s="25" t="s">
        <v>36</v>
      </c>
      <c r="B10" s="25">
        <f>Item8!A3</f>
        <v>8</v>
      </c>
      <c r="C10" s="27" t="str">
        <f>Item8!B3</f>
        <v>Etiquetas para envelope
(documentos da eleição)
Formato: A4
Gramatura: 75g/m2.
Especificação: etiqueta adesiva na cor branca com impressão em preto na frente e com serrilha ao meio, sendo 2 (duas) etiquetas por folha.
Embalagem: pacote com 25 folhas, embaladas em plástico transparente.
FL = folha</v>
      </c>
      <c r="D10" s="25" t="str">
        <f>Item8!C3</f>
        <v>folha</v>
      </c>
      <c r="E10" s="25">
        <f>Item8!D3</f>
        <v>25000</v>
      </c>
      <c r="F10" s="26">
        <f>Item8!E3</f>
        <v>0.64</v>
      </c>
      <c r="G10" s="26">
        <f t="shared" si="0"/>
        <v>16000</v>
      </c>
    </row>
    <row r="11" spans="1:7" ht="150" x14ac:dyDescent="0.25">
      <c r="A11" s="25" t="s">
        <v>36</v>
      </c>
      <c r="B11" s="25">
        <f>Item9!A3</f>
        <v>9</v>
      </c>
      <c r="C11" s="27" t="str">
        <f>Item9!B3</f>
        <v>Folder para mesário
Papel: AP 75g/m²
Total de páginas: 4 (quatro)
Formato fechado: A4
Formato aberto: A3 (com uma dobra)
Acabamento: com grampos
Padrão de cor: preto e branco
Embalagem: pacotes com 25 folders, embalados em plástico transparente.
MLH = milheiro</v>
      </c>
      <c r="D11" s="25" t="str">
        <f>Item9!C3</f>
        <v>milheiro</v>
      </c>
      <c r="E11" s="25">
        <f>Item9!D3</f>
        <v>60</v>
      </c>
      <c r="F11" s="26">
        <f>Item9!E3</f>
        <v>386.36</v>
      </c>
      <c r="G11" s="26">
        <f t="shared" si="0"/>
        <v>23181.599999999999</v>
      </c>
    </row>
    <row r="12" spans="1:7" ht="150" x14ac:dyDescent="0.25">
      <c r="A12" s="25" t="s">
        <v>36</v>
      </c>
      <c r="B12" s="25">
        <f>Item10!A3</f>
        <v>10</v>
      </c>
      <c r="C12" s="27" t="str">
        <f>Item10!B3</f>
        <v>Formulário controle material de eleição/recibo de devolução de material
Formato: A4 (210 mm x 297 mm).
Gramatura: 75g/m2.
Especificação: papel autocopiativo, com impressão em preto na frente. Jogo com 03 (vias); 1ª via: azul, 2ª via: branca, 3ª via: amarela.
Embalagem: bloco com 50 jogos.
BL = bloco</v>
      </c>
      <c r="D12" s="25" t="str">
        <f>Item10!C3</f>
        <v>bloco</v>
      </c>
      <c r="E12" s="25">
        <f>Item10!D3</f>
        <v>230</v>
      </c>
      <c r="F12" s="26">
        <f>Item10!E3</f>
        <v>15</v>
      </c>
      <c r="G12" s="26">
        <f t="shared" si="0"/>
        <v>3450</v>
      </c>
    </row>
    <row r="13" spans="1:7" ht="165" x14ac:dyDescent="0.25">
      <c r="A13" s="25" t="s">
        <v>36</v>
      </c>
      <c r="B13" s="25">
        <f>Item11!A3</f>
        <v>11</v>
      </c>
      <c r="C13" s="27" t="str">
        <f>Item11!B3</f>
        <v>Recibo da Entrega de UE/Devolução de UE (par de recibos)
Formato: 215 mm x 105 mm (largura x altura).
Gramatura: 75g/m2.
Especificação: recibo na cor BRANCA com impressão em preto na frente com serrilha ao meio.
Embalagem: pacote com 25 unidades, embaladas em plástico transparente.
MLH=milheiro</v>
      </c>
      <c r="D13" s="25" t="str">
        <f>Item11!C3</f>
        <v>milheiro</v>
      </c>
      <c r="E13" s="25">
        <f>Item11!D3</f>
        <v>51</v>
      </c>
      <c r="F13" s="26">
        <f>Item11!E3</f>
        <v>105.09</v>
      </c>
      <c r="G13" s="26">
        <f t="shared" si="0"/>
        <v>5359.59</v>
      </c>
    </row>
    <row r="14" spans="1:7" ht="90" x14ac:dyDescent="0.25">
      <c r="A14" s="25" t="s">
        <v>36</v>
      </c>
      <c r="B14" s="25">
        <f>Item12!A3</f>
        <v>12</v>
      </c>
      <c r="C14" s="27" t="str">
        <f>Item12!B3</f>
        <v>Preferenciais
Especificação: dimensões 105 mm X 148 mm, gramatura 75 g/m2, papel offset na cor BRANCA com impressão em preto e branco na frente.
UND = unidade</v>
      </c>
      <c r="D14" s="25" t="str">
        <f>Item12!C3</f>
        <v>unidade</v>
      </c>
      <c r="E14" s="25">
        <f>Item12!D3</f>
        <v>20000</v>
      </c>
      <c r="F14" s="26">
        <f>Item12!E3</f>
        <v>0.17</v>
      </c>
      <c r="G14" s="26">
        <f t="shared" si="0"/>
        <v>3400</v>
      </c>
    </row>
    <row r="15" spans="1:7" ht="210" x14ac:dyDescent="0.25">
      <c r="A15" s="25" t="s">
        <v>36</v>
      </c>
      <c r="B15" s="25">
        <f>Item13!A3</f>
        <v>13</v>
      </c>
      <c r="C15" s="27" t="str">
        <f>Item13!B3</f>
        <v>Etiquetas para identificação das mídias de carga
 Papel: autoadesivo;
 Dimensões: 37,5 mm x 21 mm;
 Frontal: Offset branco fosco 60 a 75g/m²;
 Adesivo: Hotmelt 25g/m²;
 Liner: Couchê 80 a 90g/m²;
 Impressão: em preto, apenas na frente
 Acabamento: meio-corte para destacar cada etiqueta individualmente;
 Acondicionamento: que resguarde a integridade das etiquetas.
CARTELA COM 40 ETIQUETAS</v>
      </c>
      <c r="D15" s="25" t="str">
        <f>Item13!C3</f>
        <v>cartela</v>
      </c>
      <c r="E15" s="25">
        <f>Item13!D3</f>
        <v>350</v>
      </c>
      <c r="F15" s="26">
        <f>Item13!E3</f>
        <v>14.68</v>
      </c>
      <c r="G15" s="26">
        <f t="shared" si="0"/>
        <v>5138</v>
      </c>
    </row>
    <row r="16" spans="1:7" ht="210" x14ac:dyDescent="0.25">
      <c r="A16" s="25" t="s">
        <v>36</v>
      </c>
      <c r="B16" s="25">
        <f>Item14!A3</f>
        <v>14</v>
      </c>
      <c r="C16" s="27" t="str">
        <f>Item14!B3</f>
        <v>Etiquetas para identificação das mídias de votação
 Papel: autoadesivo;
 Dimensões: 37,5 mm x 21 mm;
 Frontal: Offset branco fosco 60 a 75g/m²;
 Adesivo: Hotmelt 25g/m²;
 Liner: Couchê 80 a 90g/m²;
 Impressão: em preto, apenas na frente
 Acabamento: meio-corte para destacar cada etiqueta individualmente;
 Acondicionamento: que resguarde a integridade das etiquetas. 
CARTELA COM 40 ETIQUETAS</v>
      </c>
      <c r="D16" s="25" t="str">
        <f>Item14!C3</f>
        <v>cartela</v>
      </c>
      <c r="E16" s="25">
        <f>Item14!D3</f>
        <v>1600</v>
      </c>
      <c r="F16" s="26">
        <f>Item14!E3</f>
        <v>6.56</v>
      </c>
      <c r="G16" s="26">
        <f t="shared" si="0"/>
        <v>10496</v>
      </c>
    </row>
    <row r="17" spans="1:7" ht="210" x14ac:dyDescent="0.25">
      <c r="A17" s="25" t="s">
        <v>36</v>
      </c>
      <c r="B17" s="25">
        <f>Item15!A3</f>
        <v>15</v>
      </c>
      <c r="C17" s="27" t="str">
        <f>Item15!B3</f>
        <v xml:space="preserve">Etiquetas para identificação das mídias de resultado
 Papel: autoadesivo;
 Dimensões: 64 mm x 44 mm;
 Frontal: Offset branco fosco 60 a 75g/m²;
 Adesivo: Hotmelt 25g/m²;
 Liner: Couchê 80 a 90g/m²;
 Impressão: em preto, apenas na frente
 Acabamento: meio-corte para destacar cada etiqueta individualmente;
 Acondicionamento: que resguarde a integridade das etiquetas.
CARTELA COM 17 ETIQUETAS </v>
      </c>
      <c r="D17" s="25" t="str">
        <f>Item15!C3</f>
        <v>cartela</v>
      </c>
      <c r="E17" s="25">
        <f>Item15!D3</f>
        <v>4000</v>
      </c>
      <c r="F17" s="26">
        <f>Item15!E3</f>
        <v>2.89</v>
      </c>
      <c r="G17" s="26">
        <f t="shared" si="0"/>
        <v>11560</v>
      </c>
    </row>
    <row r="18" spans="1:7" ht="270" x14ac:dyDescent="0.25">
      <c r="A18" s="25">
        <v>1</v>
      </c>
      <c r="B18" s="25">
        <f>Item16!A3</f>
        <v>16</v>
      </c>
      <c r="C18" s="27" t="str">
        <f>Item16!B3</f>
        <v xml:space="preserve">Crachá – Juiz (a) Eleitoral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18" s="25" t="str">
        <f>Item16!C3</f>
        <v>unidade</v>
      </c>
      <c r="E18" s="25">
        <f>Item16!D3</f>
        <v>220</v>
      </c>
      <c r="F18" s="26">
        <f>Item16!E3</f>
        <v>1.47</v>
      </c>
      <c r="G18" s="26">
        <f t="shared" si="0"/>
        <v>323.39999999999998</v>
      </c>
    </row>
    <row r="19" spans="1:7" ht="270" x14ac:dyDescent="0.25">
      <c r="A19" s="25">
        <v>1</v>
      </c>
      <c r="B19" s="25">
        <f>Item17!A3</f>
        <v>17</v>
      </c>
      <c r="C19" s="27" t="str">
        <f>Item17!B3</f>
        <v>Crachá – Promotor (a) Eleitoral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D19" s="25" t="str">
        <f>Item17!C3</f>
        <v>unidade</v>
      </c>
      <c r="E19" s="25">
        <f>Item17!D3</f>
        <v>220</v>
      </c>
      <c r="F19" s="26">
        <f>Item17!E3</f>
        <v>1.47</v>
      </c>
      <c r="G19" s="26">
        <f t="shared" si="0"/>
        <v>323.39999999999998</v>
      </c>
    </row>
    <row r="20" spans="1:7" ht="285" x14ac:dyDescent="0.25">
      <c r="A20" s="25">
        <v>1</v>
      </c>
      <c r="B20" s="25">
        <f>Item18!A3</f>
        <v>18</v>
      </c>
      <c r="C20" s="27" t="str">
        <f>Item18!B3</f>
        <v xml:space="preserve">Crachá – Mesários (as)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0" s="25" t="str">
        <f>Item18!C3</f>
        <v>unidade</v>
      </c>
      <c r="E20" s="25">
        <f>Item18!D3</f>
        <v>164529</v>
      </c>
      <c r="F20" s="26">
        <f>Item18!E3</f>
        <v>0.89</v>
      </c>
      <c r="G20" s="26">
        <f t="shared" si="0"/>
        <v>146430.81</v>
      </c>
    </row>
    <row r="21" spans="1:7" ht="285" x14ac:dyDescent="0.25">
      <c r="A21" s="25">
        <v>1</v>
      </c>
      <c r="B21" s="25">
        <f>Item19!A3</f>
        <v>19</v>
      </c>
      <c r="C21" s="27" t="str">
        <f>Item19!B3</f>
        <v xml:space="preserve">Crachá – Coordenador (a) de Local de Votação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1" s="25" t="str">
        <f>Item19!C3</f>
        <v>unidade</v>
      </c>
      <c r="E21" s="25">
        <f>Item19!D3</f>
        <v>19000</v>
      </c>
      <c r="F21" s="26">
        <f>Item19!E3</f>
        <v>0.82</v>
      </c>
      <c r="G21" s="26">
        <f t="shared" si="0"/>
        <v>15580</v>
      </c>
    </row>
    <row r="22" spans="1:7" ht="270" x14ac:dyDescent="0.25">
      <c r="A22" s="25">
        <v>1</v>
      </c>
      <c r="B22" s="25">
        <f>Item20!A3</f>
        <v>20</v>
      </c>
      <c r="C22" s="27" t="str">
        <f>Item20!B3</f>
        <v>Crachá – Colaborador (a)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v>
      </c>
      <c r="D22" s="25" t="str">
        <f>Item20!C3</f>
        <v>unidade</v>
      </c>
      <c r="E22" s="25">
        <f>Item20!D3</f>
        <v>22000</v>
      </c>
      <c r="F22" s="26">
        <f>Item20!E3</f>
        <v>0.82</v>
      </c>
      <c r="G22" s="26">
        <f t="shared" si="0"/>
        <v>18040</v>
      </c>
    </row>
    <row r="23" spans="1:7" ht="270" x14ac:dyDescent="0.25">
      <c r="A23" s="25">
        <v>1</v>
      </c>
      <c r="B23" s="25">
        <f>Item21!A3</f>
        <v>21</v>
      </c>
      <c r="C23" s="27" t="str">
        <f>Item21!B3</f>
        <v xml:space="preserve">Crachá – Membros da Junta Apuradora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3" s="25" t="str">
        <f>Item21!C3</f>
        <v>unidade</v>
      </c>
      <c r="E23" s="25">
        <f>Item21!D3</f>
        <v>1100</v>
      </c>
      <c r="F23" s="26">
        <f>Item21!E3</f>
        <v>0.86</v>
      </c>
      <c r="G23" s="26">
        <f t="shared" si="0"/>
        <v>946</v>
      </c>
    </row>
    <row r="24" spans="1:7" ht="285" x14ac:dyDescent="0.25">
      <c r="A24" s="25">
        <v>1</v>
      </c>
      <c r="B24" s="25">
        <f>Item22!A3</f>
        <v>22</v>
      </c>
      <c r="C24" s="27" t="str">
        <f>Item22!B3</f>
        <v xml:space="preserve">Crachá – Coordenador (a) de Acessibilidade
Formato: 90 mm x 120 mm (largura x altura). Gramatura: 250g/m2.
Especificação: papel opaco na cor branca, com impressão multicolorida na frente, com cordão azul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4" s="25" t="str">
        <f>Item22!C3</f>
        <v>unidade</v>
      </c>
      <c r="E24" s="25">
        <f>Item22!D3</f>
        <v>10355</v>
      </c>
      <c r="F24" s="26">
        <f>Item22!E3</f>
        <v>0.84</v>
      </c>
      <c r="G24" s="26">
        <f t="shared" si="0"/>
        <v>8698.2000000000007</v>
      </c>
    </row>
    <row r="25" spans="1:7" ht="285" x14ac:dyDescent="0.25">
      <c r="A25" s="25">
        <v>1</v>
      </c>
      <c r="B25" s="25">
        <f>Item23!A3</f>
        <v>23</v>
      </c>
      <c r="C25" s="27" t="str">
        <f>Item23!B3</f>
        <v xml:space="preserve">Crachá – Comissão de Auditoria da Votação Eletrônica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5" s="25" t="str">
        <f>Item23!C3</f>
        <v>unidade</v>
      </c>
      <c r="E25" s="25">
        <f>Item23!D3</f>
        <v>300</v>
      </c>
      <c r="F25" s="26">
        <f>Item23!E3</f>
        <v>0.97</v>
      </c>
      <c r="G25" s="26">
        <f t="shared" si="0"/>
        <v>291</v>
      </c>
    </row>
    <row r="26" spans="1:7" ht="300" x14ac:dyDescent="0.25">
      <c r="A26" s="25">
        <v>1</v>
      </c>
      <c r="B26" s="25">
        <f>Item24!A3</f>
        <v>24</v>
      </c>
      <c r="C26" s="27" t="str">
        <f>Item24!B3</f>
        <v xml:space="preserve">Crachá – Juiz (a) Presidente
Comissão de Auditoria da Votação Eletrônica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6" s="25" t="str">
        <f>Item24!C3</f>
        <v>unidade</v>
      </c>
      <c r="E26" s="25">
        <f>Item24!D3</f>
        <v>5</v>
      </c>
      <c r="F26" s="26">
        <f>Item24!E3</f>
        <v>9.9700000000000006</v>
      </c>
      <c r="G26" s="26">
        <f t="shared" si="0"/>
        <v>49.85</v>
      </c>
    </row>
    <row r="27" spans="1:7" ht="315" x14ac:dyDescent="0.25">
      <c r="A27" s="25">
        <v>1</v>
      </c>
      <c r="B27" s="25">
        <f>Item25!A3</f>
        <v>25</v>
      </c>
      <c r="C27" s="27" t="str">
        <f>Item25!B3</f>
        <v xml:space="preserve">Crachá – Representante do Ministério Público
Comissão de Auditoria da Votação Eletrônica
Formato: 90 mm x 120 mm (largura x altura).
Gramatura: 250g/m2.
Especificação: papel opaco na cor branca, com impressão multicolorida na frente, com cordão branco tipo “rabo de rato”, preso nas extremidades superiores do cartão, medindo, no mínimo, 100 cm de comprimento. Entregar montado (furado e com cordão fixado em cada unidade) e acondicionado em sacos plásticos lacrados contendo 10 unidades.
Embalagem: pacotes plásticos lacrados contendo 100 sacos plásticos de 10 unidades, devidamente embalados em caixas de papelão de boa qualidade.
UND = unidade </v>
      </c>
      <c r="D27" s="25" t="str">
        <f>Item25!C3</f>
        <v>unidade</v>
      </c>
      <c r="E27" s="25">
        <f>Item25!D3</f>
        <v>5</v>
      </c>
      <c r="F27" s="26">
        <f>Item25!E3</f>
        <v>9.9700000000000006</v>
      </c>
      <c r="G27" s="26">
        <f t="shared" si="0"/>
        <v>49.85</v>
      </c>
    </row>
    <row r="28" spans="1:7" x14ac:dyDescent="0.25">
      <c r="A28" s="28"/>
      <c r="B28" s="28"/>
      <c r="C28" s="29"/>
      <c r="D28" s="30"/>
      <c r="E28" s="30"/>
      <c r="F28" s="31"/>
      <c r="G28" s="31"/>
    </row>
    <row r="29" spans="1:7" ht="15.75" thickBot="1" x14ac:dyDescent="0.3"/>
    <row r="30" spans="1:7" ht="16.5" thickTop="1" thickBot="1" x14ac:dyDescent="0.3">
      <c r="D30" s="22"/>
      <c r="E30" s="23" t="s">
        <v>33</v>
      </c>
      <c r="F30" s="24">
        <f>SUM(G:G)</f>
        <v>1295564.3</v>
      </c>
    </row>
    <row r="31" spans="1:7" ht="15.75" thickTop="1" x14ac:dyDescent="0.25">
      <c r="F31" s="3"/>
    </row>
    <row r="32" spans="1:7" x14ac:dyDescent="0.25">
      <c r="D32" s="21" t="s">
        <v>32</v>
      </c>
      <c r="E32" s="13">
        <f>MAX(A:A)</f>
        <v>1</v>
      </c>
    </row>
    <row r="34" spans="4:6" x14ac:dyDescent="0.25">
      <c r="D34" s="18" t="s">
        <v>31</v>
      </c>
      <c r="E34" s="19">
        <v>1</v>
      </c>
      <c r="F34" s="20">
        <f>SUMIF(A:A,E34,G:G)</f>
        <v>190732.51</v>
      </c>
    </row>
    <row r="35" spans="4:6" x14ac:dyDescent="0.25">
      <c r="D35" s="18" t="s">
        <v>31</v>
      </c>
      <c r="E35" s="19">
        <v>2</v>
      </c>
      <c r="F35" s="20">
        <f>SUMIF(A:A,E35,G:G)</f>
        <v>0</v>
      </c>
    </row>
    <row r="36" spans="4:6" x14ac:dyDescent="0.25">
      <c r="D36" s="18" t="s">
        <v>31</v>
      </c>
      <c r="E36" s="19">
        <v>3</v>
      </c>
      <c r="F36" s="20">
        <f>SUMIF(A:A,E36,G:G)</f>
        <v>0</v>
      </c>
    </row>
    <row r="37" spans="4:6" x14ac:dyDescent="0.25">
      <c r="D37" s="18" t="s">
        <v>31</v>
      </c>
      <c r="E37" s="19">
        <v>4</v>
      </c>
      <c r="F37" s="20">
        <f>SUMIF(A:A,E37,G:G)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106</v>
      </c>
      <c r="C3" s="36" t="s">
        <v>68</v>
      </c>
      <c r="D3" s="40">
        <v>4962</v>
      </c>
      <c r="E3" s="37">
        <f>IF(C20&lt;=25%,D20,MIN(E20:F20))</f>
        <v>25</v>
      </c>
      <c r="F3" s="37">
        <f>MIN(H3:H17)</f>
        <v>9</v>
      </c>
      <c r="G3" s="5" t="s">
        <v>63</v>
      </c>
      <c r="H3" s="16">
        <v>25</v>
      </c>
      <c r="I3" s="17">
        <f>IF(H3="","",(IF($C$20&lt;25%,"n/a",IF(H3&lt;=($D$20+$A$20),H3,"Descartado"))))</f>
        <v>25</v>
      </c>
    </row>
    <row r="4" spans="1:9" x14ac:dyDescent="0.25">
      <c r="A4" s="38"/>
      <c r="B4" s="35"/>
      <c r="C4" s="36"/>
      <c r="D4" s="36"/>
      <c r="E4" s="37"/>
      <c r="F4" s="37"/>
      <c r="G4" s="5" t="s">
        <v>64</v>
      </c>
      <c r="H4" s="16">
        <v>9</v>
      </c>
      <c r="I4" s="17">
        <f t="shared" ref="I4:I17" si="0">IF(H4="","",(IF($C$20&lt;25%,"n/a",IF(H4&lt;=($D$20+$A$20),H4,"Descartado"))))</f>
        <v>9</v>
      </c>
    </row>
    <row r="5" spans="1:9" x14ac:dyDescent="0.25">
      <c r="A5" s="38"/>
      <c r="B5" s="35"/>
      <c r="C5" s="36"/>
      <c r="D5" s="36"/>
      <c r="E5" s="37"/>
      <c r="F5" s="37"/>
      <c r="G5" s="41" t="s">
        <v>69</v>
      </c>
      <c r="H5" s="16">
        <f>0.02*500</f>
        <v>10</v>
      </c>
      <c r="I5" s="17">
        <f t="shared" si="0"/>
        <v>10</v>
      </c>
    </row>
    <row r="6" spans="1:9" x14ac:dyDescent="0.25">
      <c r="A6" s="38"/>
      <c r="B6" s="35"/>
      <c r="C6" s="36"/>
      <c r="D6" s="36"/>
      <c r="E6" s="37"/>
      <c r="F6" s="37"/>
      <c r="G6" s="5" t="s">
        <v>70</v>
      </c>
      <c r="H6" s="16">
        <f>0.04*500</f>
        <v>20</v>
      </c>
      <c r="I6" s="17">
        <f t="shared" si="0"/>
        <v>20</v>
      </c>
    </row>
    <row r="7" spans="1:9" x14ac:dyDescent="0.25">
      <c r="A7" s="38"/>
      <c r="B7" s="35"/>
      <c r="C7" s="36"/>
      <c r="D7" s="36"/>
      <c r="E7" s="37"/>
      <c r="F7" s="37"/>
      <c r="G7" s="5" t="s">
        <v>71</v>
      </c>
      <c r="H7" s="16">
        <f>0.04*500</f>
        <v>20</v>
      </c>
      <c r="I7" s="17">
        <f t="shared" si="0"/>
        <v>20</v>
      </c>
    </row>
    <row r="8" spans="1:9" x14ac:dyDescent="0.25">
      <c r="A8" s="38"/>
      <c r="B8" s="35"/>
      <c r="C8" s="36"/>
      <c r="D8" s="36"/>
      <c r="E8" s="37"/>
      <c r="F8" s="37"/>
      <c r="G8" s="5" t="s">
        <v>72</v>
      </c>
      <c r="H8" s="16">
        <f>0.05*500</f>
        <v>25</v>
      </c>
      <c r="I8" s="17">
        <f t="shared" si="0"/>
        <v>25</v>
      </c>
    </row>
    <row r="9" spans="1:9" x14ac:dyDescent="0.25">
      <c r="A9" s="38"/>
      <c r="B9" s="35"/>
      <c r="C9" s="36"/>
      <c r="D9" s="36"/>
      <c r="E9" s="37"/>
      <c r="F9" s="37"/>
      <c r="G9" s="5" t="s">
        <v>73</v>
      </c>
      <c r="H9" s="16">
        <f>0.14*500</f>
        <v>70</v>
      </c>
      <c r="I9" s="17">
        <f t="shared" si="0"/>
        <v>70</v>
      </c>
    </row>
    <row r="10" spans="1:9" x14ac:dyDescent="0.25">
      <c r="A10" s="38"/>
      <c r="B10" s="35"/>
      <c r="C10" s="36"/>
      <c r="D10" s="36"/>
      <c r="E10" s="37"/>
      <c r="F10" s="37"/>
      <c r="G10" s="5" t="s">
        <v>74</v>
      </c>
      <c r="H10" s="16">
        <f>0.15*500</f>
        <v>75</v>
      </c>
      <c r="I10" s="17">
        <f t="shared" si="0"/>
        <v>75</v>
      </c>
    </row>
    <row r="11" spans="1:9" x14ac:dyDescent="0.25">
      <c r="A11" s="38"/>
      <c r="B11" s="35"/>
      <c r="C11" s="36"/>
      <c r="D11" s="36"/>
      <c r="E11" s="37"/>
      <c r="F11" s="37"/>
      <c r="G11" s="5" t="s">
        <v>75</v>
      </c>
      <c r="H11" s="16">
        <f>2*500</f>
        <v>1000</v>
      </c>
      <c r="I11" s="17">
        <f t="shared" si="0"/>
        <v>1000</v>
      </c>
    </row>
    <row r="12" spans="1:9" x14ac:dyDescent="0.25">
      <c r="A12" s="38"/>
      <c r="B12" s="35"/>
      <c r="C12" s="36"/>
      <c r="D12" s="36"/>
      <c r="E12" s="37"/>
      <c r="F12" s="37"/>
      <c r="G12" s="5" t="s">
        <v>76</v>
      </c>
      <c r="H12" s="16">
        <f>1000*500</f>
        <v>500000</v>
      </c>
      <c r="I12" s="17" t="str">
        <f t="shared" si="0"/>
        <v>Descartado</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158070.1164759206</v>
      </c>
      <c r="B20" s="8">
        <f>COUNT(H3:H17)</f>
        <v>10</v>
      </c>
      <c r="C20" s="9">
        <f>IF(B20&lt;2,"n/a",(A20/D20))</f>
        <v>3.1534933681510888</v>
      </c>
      <c r="D20" s="10">
        <f>IFERROR(ROUND(AVERAGE(H3:H17),2),"")</f>
        <v>50125.4</v>
      </c>
      <c r="E20" s="15">
        <f>IFERROR(ROUND(IF(B20&lt;2,"n/a",(IF(C20&lt;=25%,"n/a",AVERAGE(I3:I17)))),2),"n/a")</f>
        <v>139.33000000000001</v>
      </c>
      <c r="F20" s="10">
        <f>IFERROR(ROUND(MEDIAN(H3:H17),2),"")</f>
        <v>25</v>
      </c>
      <c r="G20" s="11" t="str">
        <f>IFERROR(INDEX(G3:G17,MATCH(H20,H3:H17,0)),"")</f>
        <v>EGBA - EMPRESA GRÁFICA DA BAHIA</v>
      </c>
      <c r="H20" s="12">
        <f>F3</f>
        <v>9</v>
      </c>
    </row>
    <row r="22" spans="1:9" x14ac:dyDescent="0.25">
      <c r="G22" s="13" t="s">
        <v>20</v>
      </c>
      <c r="H22" s="14">
        <f>IF(C20&lt;=25%,D20,MIN(E20:F20))</f>
        <v>25</v>
      </c>
    </row>
    <row r="23" spans="1:9" x14ac:dyDescent="0.25">
      <c r="G23" s="13" t="s">
        <v>6</v>
      </c>
      <c r="H23" s="14">
        <f>ROUND(H22,2)*D3</f>
        <v>124050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107</v>
      </c>
      <c r="C3" s="36" t="s">
        <v>68</v>
      </c>
      <c r="D3" s="40">
        <v>4113</v>
      </c>
      <c r="E3" s="37">
        <f>IF(C20&lt;=25%,D20,MIN(E20:F20))</f>
        <v>25</v>
      </c>
      <c r="F3" s="37">
        <f>MIN(H3:H17)</f>
        <v>10</v>
      </c>
      <c r="G3" s="5" t="s">
        <v>63</v>
      </c>
      <c r="H3" s="16">
        <v>23.5</v>
      </c>
      <c r="I3" s="17">
        <f>IF(H3="","",(IF($C$20&lt;25%,"n/a",IF(H3&lt;=($D$20+$A$20),H3,"Descartado"))))</f>
        <v>23.5</v>
      </c>
    </row>
    <row r="4" spans="1:9" x14ac:dyDescent="0.25">
      <c r="A4" s="38"/>
      <c r="B4" s="35"/>
      <c r="C4" s="36"/>
      <c r="D4" s="36"/>
      <c r="E4" s="37"/>
      <c r="F4" s="37"/>
      <c r="G4" s="5" t="s">
        <v>64</v>
      </c>
      <c r="H4" s="16">
        <v>15</v>
      </c>
      <c r="I4" s="17">
        <f t="shared" ref="I4:I17" si="0">IF(H4="","",(IF($C$20&lt;25%,"n/a",IF(H4&lt;=($D$20+$A$20),H4,"Descartado"))))</f>
        <v>15</v>
      </c>
    </row>
    <row r="5" spans="1:9" x14ac:dyDescent="0.25">
      <c r="A5" s="38"/>
      <c r="B5" s="35"/>
      <c r="C5" s="36"/>
      <c r="D5" s="36"/>
      <c r="E5" s="37"/>
      <c r="F5" s="37"/>
      <c r="G5" s="41" t="s">
        <v>69</v>
      </c>
      <c r="H5" s="16">
        <f>0.02*500</f>
        <v>10</v>
      </c>
      <c r="I5" s="17">
        <f t="shared" si="0"/>
        <v>10</v>
      </c>
    </row>
    <row r="6" spans="1:9" x14ac:dyDescent="0.25">
      <c r="A6" s="38"/>
      <c r="B6" s="35"/>
      <c r="C6" s="36"/>
      <c r="D6" s="36"/>
      <c r="E6" s="37"/>
      <c r="F6" s="37"/>
      <c r="G6" s="5" t="s">
        <v>70</v>
      </c>
      <c r="H6" s="16">
        <f>0.05*500</f>
        <v>25</v>
      </c>
      <c r="I6" s="17">
        <f t="shared" si="0"/>
        <v>25</v>
      </c>
    </row>
    <row r="7" spans="1:9" x14ac:dyDescent="0.25">
      <c r="A7" s="38"/>
      <c r="B7" s="35"/>
      <c r="C7" s="36"/>
      <c r="D7" s="36"/>
      <c r="E7" s="37"/>
      <c r="F7" s="37"/>
      <c r="G7" s="5" t="s">
        <v>71</v>
      </c>
      <c r="H7" s="16">
        <f>0.05*500</f>
        <v>25</v>
      </c>
      <c r="I7" s="17">
        <f t="shared" si="0"/>
        <v>25</v>
      </c>
    </row>
    <row r="8" spans="1:9" x14ac:dyDescent="0.25">
      <c r="A8" s="38"/>
      <c r="B8" s="35"/>
      <c r="C8" s="36"/>
      <c r="D8" s="36"/>
      <c r="E8" s="37"/>
      <c r="F8" s="37"/>
      <c r="G8" s="5" t="s">
        <v>72</v>
      </c>
      <c r="H8" s="16">
        <f>0.05*500</f>
        <v>25</v>
      </c>
      <c r="I8" s="17">
        <f t="shared" si="0"/>
        <v>25</v>
      </c>
    </row>
    <row r="9" spans="1:9" x14ac:dyDescent="0.25">
      <c r="A9" s="38"/>
      <c r="B9" s="35"/>
      <c r="C9" s="36"/>
      <c r="D9" s="36"/>
      <c r="E9" s="37"/>
      <c r="F9" s="37"/>
      <c r="G9" s="5" t="s">
        <v>73</v>
      </c>
      <c r="H9" s="16">
        <f>0.14*500</f>
        <v>70</v>
      </c>
      <c r="I9" s="17">
        <f t="shared" si="0"/>
        <v>70</v>
      </c>
    </row>
    <row r="10" spans="1:9" x14ac:dyDescent="0.25">
      <c r="A10" s="38"/>
      <c r="B10" s="35"/>
      <c r="C10" s="36"/>
      <c r="D10" s="36"/>
      <c r="E10" s="37"/>
      <c r="F10" s="37"/>
      <c r="G10" s="5" t="s">
        <v>74</v>
      </c>
      <c r="H10" s="16">
        <f>0.07*500</f>
        <v>35</v>
      </c>
      <c r="I10" s="17">
        <f t="shared" si="0"/>
        <v>35</v>
      </c>
    </row>
    <row r="11" spans="1:9" x14ac:dyDescent="0.25">
      <c r="A11" s="38"/>
      <c r="B11" s="35"/>
      <c r="C11" s="36"/>
      <c r="D11" s="36"/>
      <c r="E11" s="37"/>
      <c r="F11" s="37"/>
      <c r="G11" s="5" t="s">
        <v>75</v>
      </c>
      <c r="H11" s="16">
        <f>2*500</f>
        <v>1000</v>
      </c>
      <c r="I11" s="17">
        <f t="shared" si="0"/>
        <v>1000</v>
      </c>
    </row>
    <row r="12" spans="1:9" x14ac:dyDescent="0.25">
      <c r="A12" s="38"/>
      <c r="B12" s="35"/>
      <c r="C12" s="36"/>
      <c r="D12" s="36"/>
      <c r="E12" s="37"/>
      <c r="F12" s="37"/>
      <c r="G12" s="5" t="s">
        <v>76</v>
      </c>
      <c r="H12" s="16">
        <f>1000*500</f>
        <v>500000</v>
      </c>
      <c r="I12" s="17" t="str">
        <f t="shared" si="0"/>
        <v>Descartado</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158071.01356177614</v>
      </c>
      <c r="B20" s="8">
        <f>COUNT(H3:H17)</f>
        <v>10</v>
      </c>
      <c r="C20" s="9">
        <f>IF(B20&lt;2,"n/a",(A20/D20))</f>
        <v>3.1536716998689447</v>
      </c>
      <c r="D20" s="10">
        <f>IFERROR(ROUND(AVERAGE(H3:H17),2),"")</f>
        <v>50122.85</v>
      </c>
      <c r="E20" s="15">
        <f>IFERROR(ROUND(IF(B20&lt;2,"n/a",(IF(C20&lt;=25%,"n/a",AVERAGE(I3:I17)))),2),"n/a")</f>
        <v>136.5</v>
      </c>
      <c r="F20" s="10">
        <f>IFERROR(ROUND(MEDIAN(H3:H17),2),"")</f>
        <v>25</v>
      </c>
      <c r="G20" s="11" t="str">
        <f>IFERROR(INDEX(G3:G17,MATCH(H20,H3:H17,0)),"")</f>
        <v>G. S. SILVEIRA LTDA</v>
      </c>
      <c r="H20" s="12">
        <f>F3</f>
        <v>10</v>
      </c>
    </row>
    <row r="22" spans="1:9" x14ac:dyDescent="0.25">
      <c r="G22" s="13" t="s">
        <v>20</v>
      </c>
      <c r="H22" s="14">
        <f>IF(C20&lt;=25%,D20,MIN(E20:F20))</f>
        <v>25</v>
      </c>
    </row>
    <row r="23" spans="1:9" x14ac:dyDescent="0.25">
      <c r="G23" s="13" t="s">
        <v>6</v>
      </c>
      <c r="H23" s="14">
        <f>ROUND(H22,2)*D3</f>
        <v>102825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77</v>
      </c>
      <c r="C3" s="36" t="s">
        <v>68</v>
      </c>
      <c r="D3" s="40">
        <v>5000</v>
      </c>
      <c r="E3" s="37">
        <f>IF(C20&lt;=25%,D20,MIN(E20:F20))</f>
        <v>25</v>
      </c>
      <c r="F3" s="37">
        <f>MIN(H3:H17)</f>
        <v>10</v>
      </c>
      <c r="G3" s="5" t="s">
        <v>63</v>
      </c>
      <c r="H3" s="16">
        <v>23.5</v>
      </c>
      <c r="I3" s="17">
        <f>IF(H3="","",(IF($C$20&lt;25%,"n/a",IF(H3&lt;=($D$20+$A$20),H3,"Descartado"))))</f>
        <v>23.5</v>
      </c>
    </row>
    <row r="4" spans="1:9" x14ac:dyDescent="0.25">
      <c r="A4" s="38"/>
      <c r="B4" s="35"/>
      <c r="C4" s="36"/>
      <c r="D4" s="36"/>
      <c r="E4" s="37"/>
      <c r="F4" s="37"/>
      <c r="G4" s="5" t="s">
        <v>64</v>
      </c>
      <c r="H4" s="16">
        <v>15</v>
      </c>
      <c r="I4" s="17">
        <f t="shared" ref="I4:I17" si="0">IF(H4="","",(IF($C$20&lt;25%,"n/a",IF(H4&lt;=($D$20+$A$20),H4,"Descartado"))))</f>
        <v>15</v>
      </c>
    </row>
    <row r="5" spans="1:9" x14ac:dyDescent="0.25">
      <c r="A5" s="38"/>
      <c r="B5" s="35"/>
      <c r="C5" s="36"/>
      <c r="D5" s="36"/>
      <c r="E5" s="37"/>
      <c r="F5" s="37"/>
      <c r="G5" s="41" t="s">
        <v>69</v>
      </c>
      <c r="H5" s="16">
        <f>0.02*500</f>
        <v>10</v>
      </c>
      <c r="I5" s="17">
        <f t="shared" si="0"/>
        <v>10</v>
      </c>
    </row>
    <row r="6" spans="1:9" x14ac:dyDescent="0.25">
      <c r="A6" s="38"/>
      <c r="B6" s="35"/>
      <c r="C6" s="36"/>
      <c r="D6" s="36"/>
      <c r="E6" s="37"/>
      <c r="F6" s="37"/>
      <c r="G6" s="5" t="s">
        <v>70</v>
      </c>
      <c r="H6" s="16">
        <f>0.05*500</f>
        <v>25</v>
      </c>
      <c r="I6" s="17">
        <f t="shared" si="0"/>
        <v>25</v>
      </c>
    </row>
    <row r="7" spans="1:9" x14ac:dyDescent="0.25">
      <c r="A7" s="38"/>
      <c r="B7" s="35"/>
      <c r="C7" s="36"/>
      <c r="D7" s="36"/>
      <c r="E7" s="37"/>
      <c r="F7" s="37"/>
      <c r="G7" s="5" t="s">
        <v>71</v>
      </c>
      <c r="H7" s="16">
        <f>0.05*500</f>
        <v>25</v>
      </c>
      <c r="I7" s="17">
        <f t="shared" si="0"/>
        <v>25</v>
      </c>
    </row>
    <row r="8" spans="1:9" x14ac:dyDescent="0.25">
      <c r="A8" s="38"/>
      <c r="B8" s="35"/>
      <c r="C8" s="36"/>
      <c r="D8" s="36"/>
      <c r="E8" s="37"/>
      <c r="F8" s="37"/>
      <c r="G8" s="5" t="s">
        <v>72</v>
      </c>
      <c r="H8" s="16">
        <f>0.05*500</f>
        <v>25</v>
      </c>
      <c r="I8" s="17">
        <f t="shared" si="0"/>
        <v>25</v>
      </c>
    </row>
    <row r="9" spans="1:9" x14ac:dyDescent="0.25">
      <c r="A9" s="38"/>
      <c r="B9" s="35"/>
      <c r="C9" s="36"/>
      <c r="D9" s="36"/>
      <c r="E9" s="37"/>
      <c r="F9" s="37"/>
      <c r="G9" s="5" t="s">
        <v>73</v>
      </c>
      <c r="H9" s="16">
        <f>0.14*500</f>
        <v>70</v>
      </c>
      <c r="I9" s="17">
        <f t="shared" si="0"/>
        <v>70</v>
      </c>
    </row>
    <row r="10" spans="1:9" x14ac:dyDescent="0.25">
      <c r="A10" s="38"/>
      <c r="B10" s="35"/>
      <c r="C10" s="36"/>
      <c r="D10" s="36"/>
      <c r="E10" s="37"/>
      <c r="F10" s="37"/>
      <c r="G10" s="5" t="s">
        <v>74</v>
      </c>
      <c r="H10" s="16">
        <f>0.07*500</f>
        <v>35</v>
      </c>
      <c r="I10" s="17">
        <f t="shared" si="0"/>
        <v>35</v>
      </c>
    </row>
    <row r="11" spans="1:9" x14ac:dyDescent="0.25">
      <c r="A11" s="38"/>
      <c r="B11" s="35"/>
      <c r="C11" s="36"/>
      <c r="D11" s="36"/>
      <c r="E11" s="37"/>
      <c r="F11" s="37"/>
      <c r="G11" s="5" t="s">
        <v>75</v>
      </c>
      <c r="H11" s="16">
        <f>2*500</f>
        <v>1000</v>
      </c>
      <c r="I11" s="17">
        <f t="shared" si="0"/>
        <v>1000</v>
      </c>
    </row>
    <row r="12" spans="1:9" x14ac:dyDescent="0.25">
      <c r="A12" s="38"/>
      <c r="B12" s="35"/>
      <c r="C12" s="36"/>
      <c r="D12" s="36"/>
      <c r="E12" s="37"/>
      <c r="F12" s="37"/>
      <c r="G12" s="5" t="s">
        <v>76</v>
      </c>
      <c r="H12" s="16">
        <f>1000*500</f>
        <v>500000</v>
      </c>
      <c r="I12" s="17" t="str">
        <f t="shared" si="0"/>
        <v>Descartado</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158071.01356177614</v>
      </c>
      <c r="B20" s="8">
        <f>COUNT(H3:H17)</f>
        <v>10</v>
      </c>
      <c r="C20" s="9">
        <f>IF(B20&lt;2,"n/a",(A20/D20))</f>
        <v>3.1536716998689447</v>
      </c>
      <c r="D20" s="10">
        <f>IFERROR(ROUND(AVERAGE(H3:H17),2),"")</f>
        <v>50122.85</v>
      </c>
      <c r="E20" s="15">
        <f>IFERROR(ROUND(IF(B20&lt;2,"n/a",(IF(C20&lt;=25%,"n/a",AVERAGE(I3:I17)))),2),"n/a")</f>
        <v>136.5</v>
      </c>
      <c r="F20" s="10">
        <f>IFERROR(ROUND(MEDIAN(H3:H17),2),"")</f>
        <v>25</v>
      </c>
      <c r="G20" s="11" t="str">
        <f>IFERROR(INDEX(G3:G17,MATCH(H20,H3:H17,0)),"")</f>
        <v>G. S. SILVEIRA LTDA</v>
      </c>
      <c r="H20" s="12">
        <f>F3</f>
        <v>10</v>
      </c>
    </row>
    <row r="22" spans="1:9" x14ac:dyDescent="0.25">
      <c r="G22" s="13" t="s">
        <v>20</v>
      </c>
      <c r="H22" s="14">
        <f>IF(C20&lt;=25%,D20,MIN(E20:F20))</f>
        <v>25</v>
      </c>
    </row>
    <row r="23" spans="1:9" x14ac:dyDescent="0.25">
      <c r="G23" s="13" t="s">
        <v>6</v>
      </c>
      <c r="H23" s="14">
        <f>ROUND(H22,2)*D3</f>
        <v>125000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108</v>
      </c>
      <c r="C3" s="36" t="s">
        <v>68</v>
      </c>
      <c r="D3" s="40">
        <v>75000</v>
      </c>
      <c r="E3" s="37">
        <f>IF(C20&lt;=25%,D20,MIN(E20:F20))</f>
        <v>0.68</v>
      </c>
      <c r="F3" s="37">
        <f>MIN(H3:H17)</f>
        <v>0.3</v>
      </c>
      <c r="G3" s="5" t="s">
        <v>63</v>
      </c>
      <c r="H3" s="16">
        <v>0.63</v>
      </c>
      <c r="I3" s="17">
        <f>IF(H3="","",(IF($C$20&lt;25%,"n/a",IF(H3&lt;=($D$20+$A$20),H3,"Descartado"))))</f>
        <v>0.63</v>
      </c>
    </row>
    <row r="4" spans="1:9" x14ac:dyDescent="0.25">
      <c r="A4" s="38"/>
      <c r="B4" s="35"/>
      <c r="C4" s="36"/>
      <c r="D4" s="36"/>
      <c r="E4" s="37"/>
      <c r="F4" s="37"/>
      <c r="G4" s="5" t="s">
        <v>64</v>
      </c>
      <c r="H4" s="16">
        <v>1.2</v>
      </c>
      <c r="I4" s="17">
        <f t="shared" ref="I4:I17" si="0">IF(H4="","",(IF($C$20&lt;25%,"n/a",IF(H4&lt;=($D$20+$A$20),H4,"Descartado"))))</f>
        <v>1.2</v>
      </c>
    </row>
    <row r="5" spans="1:9" x14ac:dyDescent="0.25">
      <c r="A5" s="38"/>
      <c r="B5" s="35"/>
      <c r="C5" s="36"/>
      <c r="D5" s="36"/>
      <c r="E5" s="37"/>
      <c r="F5" s="37"/>
      <c r="G5" s="5" t="s">
        <v>78</v>
      </c>
      <c r="H5" s="16">
        <f>0.6/100*50</f>
        <v>0.3</v>
      </c>
      <c r="I5" s="17">
        <f t="shared" si="0"/>
        <v>0.3</v>
      </c>
    </row>
    <row r="6" spans="1:9" x14ac:dyDescent="0.25">
      <c r="A6" s="38"/>
      <c r="B6" s="35"/>
      <c r="C6" s="36"/>
      <c r="D6" s="36"/>
      <c r="E6" s="37"/>
      <c r="F6" s="37"/>
      <c r="G6" s="5" t="s">
        <v>71</v>
      </c>
      <c r="H6" s="16">
        <f>0.97/100*50</f>
        <v>0.48499999999999999</v>
      </c>
      <c r="I6" s="17">
        <f t="shared" si="0"/>
        <v>0.48499999999999999</v>
      </c>
    </row>
    <row r="7" spans="1:9" x14ac:dyDescent="0.25">
      <c r="A7" s="38"/>
      <c r="B7" s="35"/>
      <c r="C7" s="36"/>
      <c r="D7" s="36"/>
      <c r="E7" s="37"/>
      <c r="F7" s="37"/>
      <c r="G7" s="5" t="s">
        <v>69</v>
      </c>
      <c r="H7" s="16">
        <f>1.08/100*50</f>
        <v>0.54</v>
      </c>
      <c r="I7" s="17">
        <f t="shared" si="0"/>
        <v>0.54</v>
      </c>
    </row>
    <row r="8" spans="1:9" x14ac:dyDescent="0.25">
      <c r="A8" s="38"/>
      <c r="B8" s="35"/>
      <c r="C8" s="36"/>
      <c r="D8" s="36"/>
      <c r="E8" s="37"/>
      <c r="F8" s="37"/>
      <c r="G8" s="5" t="s">
        <v>72</v>
      </c>
      <c r="H8" s="16">
        <f>1.8/100*50</f>
        <v>0.90000000000000013</v>
      </c>
      <c r="I8" s="17">
        <f t="shared" si="0"/>
        <v>0.90000000000000013</v>
      </c>
    </row>
    <row r="9" spans="1:9" x14ac:dyDescent="0.25">
      <c r="A9" s="38"/>
      <c r="B9" s="35"/>
      <c r="C9" s="36"/>
      <c r="D9" s="36"/>
      <c r="E9" s="37"/>
      <c r="F9" s="37"/>
      <c r="G9" s="5" t="s">
        <v>73</v>
      </c>
      <c r="H9" s="16">
        <f>10/100*50</f>
        <v>5</v>
      </c>
      <c r="I9" s="17" t="str">
        <f t="shared" si="0"/>
        <v>Descartado</v>
      </c>
    </row>
    <row r="10" spans="1:9" x14ac:dyDescent="0.25">
      <c r="A10" s="38"/>
      <c r="B10" s="35"/>
      <c r="C10" s="36"/>
      <c r="D10" s="36"/>
      <c r="E10" s="37"/>
      <c r="F10" s="37"/>
      <c r="G10" s="5" t="s">
        <v>75</v>
      </c>
      <c r="H10" s="16">
        <f>15/100*50</f>
        <v>7.5</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2.6794248283380306</v>
      </c>
      <c r="B20" s="8">
        <f>COUNT(H3:H17)</f>
        <v>8</v>
      </c>
      <c r="C20" s="9">
        <f>IF(B20&lt;2,"n/a",(A20/D20))</f>
        <v>1.294408129631899</v>
      </c>
      <c r="D20" s="10">
        <f>IFERROR(ROUND(AVERAGE(H3:H17),2),"")</f>
        <v>2.0699999999999998</v>
      </c>
      <c r="E20" s="15">
        <f>IFERROR(ROUND(IF(B20&lt;2,"n/a",(IF(C20&lt;=25%,"n/a",AVERAGE(I3:I17)))),2),"n/a")</f>
        <v>0.68</v>
      </c>
      <c r="F20" s="10">
        <f>IFERROR(ROUND(MEDIAN(H3:H17),2),"")</f>
        <v>0.77</v>
      </c>
      <c r="G20" s="11" t="str">
        <f>IFERROR(INDEX(G3:G17,MATCH(H20,H3:H17,0)),"")</f>
        <v>CIPRIANI &amp; CIPRIANI LTDA</v>
      </c>
      <c r="H20" s="12">
        <f>F3</f>
        <v>0.3</v>
      </c>
    </row>
    <row r="22" spans="1:9" x14ac:dyDescent="0.25">
      <c r="G22" s="13" t="s">
        <v>20</v>
      </c>
      <c r="H22" s="14">
        <f>IF(C20&lt;=25%,D20,MIN(E20:F20))</f>
        <v>0.68</v>
      </c>
    </row>
    <row r="23" spans="1:9" x14ac:dyDescent="0.25">
      <c r="G23" s="13" t="s">
        <v>6</v>
      </c>
      <c r="H23" s="14">
        <f>ROUND(H22,2)*D3</f>
        <v>51000.000000000007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109</v>
      </c>
      <c r="C3" s="36" t="s">
        <v>68</v>
      </c>
      <c r="D3" s="40">
        <v>5000</v>
      </c>
      <c r="E3" s="37">
        <f>IF(C20&lt;=25%,D20,MIN(E20:F20))</f>
        <v>50</v>
      </c>
      <c r="F3" s="37">
        <f>MIN(H3:H17)</f>
        <v>25</v>
      </c>
      <c r="G3" s="5" t="s">
        <v>63</v>
      </c>
      <c r="H3" s="16">
        <v>37.5</v>
      </c>
      <c r="I3" s="17">
        <f>IF(H3="","",(IF($C$20&lt;25%,"n/a",IF(H3&lt;=($D$20+$A$20),H3,"Descartado"))))</f>
        <v>37.5</v>
      </c>
    </row>
    <row r="4" spans="1:9" x14ac:dyDescent="0.25">
      <c r="A4" s="38"/>
      <c r="B4" s="35"/>
      <c r="C4" s="36"/>
      <c r="D4" s="36"/>
      <c r="E4" s="37"/>
      <c r="F4" s="37"/>
      <c r="G4" s="5" t="s">
        <v>64</v>
      </c>
      <c r="H4" s="16">
        <v>25</v>
      </c>
      <c r="I4" s="17">
        <f t="shared" ref="I4:I17" si="0">IF(H4="","",(IF($C$20&lt;25%,"n/a",IF(H4&lt;=($D$20+$A$20),H4,"Descartado"))))</f>
        <v>25</v>
      </c>
    </row>
    <row r="5" spans="1:9" x14ac:dyDescent="0.25">
      <c r="A5" s="38"/>
      <c r="B5" s="35"/>
      <c r="C5" s="36"/>
      <c r="D5" s="36"/>
      <c r="E5" s="37"/>
      <c r="F5" s="37"/>
      <c r="G5" s="42" t="s">
        <v>69</v>
      </c>
      <c r="H5" s="16">
        <f>(0.07*500)</f>
        <v>35</v>
      </c>
      <c r="I5" s="17">
        <f t="shared" si="0"/>
        <v>35</v>
      </c>
    </row>
    <row r="6" spans="1:9" x14ac:dyDescent="0.25">
      <c r="A6" s="38"/>
      <c r="B6" s="35"/>
      <c r="C6" s="36"/>
      <c r="D6" s="36"/>
      <c r="E6" s="37"/>
      <c r="F6" s="37"/>
      <c r="G6" s="42" t="s">
        <v>72</v>
      </c>
      <c r="H6" s="16">
        <f>(0.1*500)</f>
        <v>50</v>
      </c>
      <c r="I6" s="17">
        <f t="shared" si="0"/>
        <v>50</v>
      </c>
    </row>
    <row r="7" spans="1:9" x14ac:dyDescent="0.25">
      <c r="A7" s="38"/>
      <c r="B7" s="35"/>
      <c r="C7" s="36"/>
      <c r="D7" s="36"/>
      <c r="E7" s="37"/>
      <c r="F7" s="37"/>
      <c r="G7" s="42" t="s">
        <v>71</v>
      </c>
      <c r="H7" s="16">
        <f>(0.1*500)</f>
        <v>50</v>
      </c>
      <c r="I7" s="17">
        <f t="shared" si="0"/>
        <v>50</v>
      </c>
    </row>
    <row r="8" spans="1:9" x14ac:dyDescent="0.25">
      <c r="A8" s="38"/>
      <c r="B8" s="35"/>
      <c r="C8" s="36"/>
      <c r="D8" s="36"/>
      <c r="E8" s="37"/>
      <c r="F8" s="37"/>
      <c r="G8" s="5" t="s">
        <v>79</v>
      </c>
      <c r="H8" s="16">
        <f>(0.7*500)</f>
        <v>350</v>
      </c>
      <c r="I8" s="17">
        <f t="shared" si="0"/>
        <v>350</v>
      </c>
    </row>
    <row r="9" spans="1:9" x14ac:dyDescent="0.25">
      <c r="A9" s="38"/>
      <c r="B9" s="35"/>
      <c r="C9" s="36"/>
      <c r="D9" s="36"/>
      <c r="E9" s="37"/>
      <c r="F9" s="37"/>
      <c r="G9" s="5" t="s">
        <v>73</v>
      </c>
      <c r="H9" s="16">
        <f>(1*500)</f>
        <v>500</v>
      </c>
      <c r="I9" s="17">
        <f t="shared" si="0"/>
        <v>500</v>
      </c>
    </row>
    <row r="10" spans="1:9" x14ac:dyDescent="0.25">
      <c r="A10" s="38"/>
      <c r="B10" s="35"/>
      <c r="C10" s="36"/>
      <c r="D10" s="36"/>
      <c r="E10" s="37"/>
      <c r="F10" s="37"/>
      <c r="G10" s="5" t="s">
        <v>76</v>
      </c>
      <c r="H10" s="16">
        <f>(1000*500)</f>
        <v>500000</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176723.87909602237</v>
      </c>
      <c r="B20" s="8">
        <f>COUNT(H3:H17)</f>
        <v>8</v>
      </c>
      <c r="C20" s="9">
        <f>IF(B20&lt;2,"n/a",(A20/D20))</f>
        <v>2.8216705528612911</v>
      </c>
      <c r="D20" s="10">
        <f>IFERROR(ROUND(AVERAGE(H3:H17),2),"")</f>
        <v>62630.94</v>
      </c>
      <c r="E20" s="15">
        <f>IFERROR(ROUND(IF(B20&lt;2,"n/a",(IF(C20&lt;=25%,"n/a",AVERAGE(I3:I17)))),2),"n/a")</f>
        <v>149.63999999999999</v>
      </c>
      <c r="F20" s="10">
        <f>IFERROR(ROUND(MEDIAN(H3:H17),2),"")</f>
        <v>50</v>
      </c>
      <c r="G20" s="11" t="str">
        <f>IFERROR(INDEX(G3:G17,MATCH(H20,H3:H17,0)),"")</f>
        <v>EGBA - EMPRESA GRÁFICA DA BAHIA</v>
      </c>
      <c r="H20" s="12">
        <f>F3</f>
        <v>25</v>
      </c>
    </row>
    <row r="22" spans="1:9" x14ac:dyDescent="0.25">
      <c r="G22" s="13" t="s">
        <v>20</v>
      </c>
      <c r="H22" s="14">
        <f>IF(C20&lt;=25%,D20,MIN(E20:F20))</f>
        <v>50</v>
      </c>
    </row>
    <row r="23" spans="1:9" x14ac:dyDescent="0.25">
      <c r="G23" s="13" t="s">
        <v>6</v>
      </c>
      <c r="H23" s="14">
        <f>ROUND(H22,2)*D3</f>
        <v>250000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110</v>
      </c>
      <c r="C3" s="36" t="s">
        <v>80</v>
      </c>
      <c r="D3" s="40">
        <v>25000</v>
      </c>
      <c r="E3" s="37">
        <f>IF(C20&lt;=25%,D20,MIN(E20:F20))</f>
        <v>0.64</v>
      </c>
      <c r="F3" s="37">
        <f>MIN(H3:H17)</f>
        <v>0.16</v>
      </c>
      <c r="G3" s="5" t="s">
        <v>63</v>
      </c>
      <c r="H3" s="16">
        <v>0.93</v>
      </c>
      <c r="I3" s="17">
        <f>IF(H3="","",(IF($C$20&lt;25%,"n/a",IF(H3&lt;=($D$20+$A$20),H3,"Descartado"))))</f>
        <v>0.93</v>
      </c>
    </row>
    <row r="4" spans="1:9" x14ac:dyDescent="0.25">
      <c r="A4" s="38"/>
      <c r="B4" s="35"/>
      <c r="C4" s="36"/>
      <c r="D4" s="36"/>
      <c r="E4" s="37"/>
      <c r="F4" s="37"/>
      <c r="G4" s="5" t="s">
        <v>64</v>
      </c>
      <c r="H4" s="16">
        <v>0.16</v>
      </c>
      <c r="I4" s="17">
        <f t="shared" ref="I4:I17" si="0">IF(H4="","",(IF($C$20&lt;25%,"n/a",IF(H4&lt;=($D$20+$A$20),H4,"Descartado"))))</f>
        <v>0.16</v>
      </c>
    </row>
    <row r="5" spans="1:9" x14ac:dyDescent="0.25">
      <c r="A5" s="38"/>
      <c r="B5" s="35"/>
      <c r="C5" s="36"/>
      <c r="D5" s="36"/>
      <c r="E5" s="37"/>
      <c r="F5" s="37"/>
      <c r="G5" s="5" t="s">
        <v>81</v>
      </c>
      <c r="H5" s="16">
        <v>0.31</v>
      </c>
      <c r="I5" s="17">
        <f t="shared" si="0"/>
        <v>0.31</v>
      </c>
    </row>
    <row r="6" spans="1:9" x14ac:dyDescent="0.25">
      <c r="A6" s="38"/>
      <c r="B6" s="35"/>
      <c r="C6" s="36"/>
      <c r="D6" s="36"/>
      <c r="E6" s="37"/>
      <c r="F6" s="37"/>
      <c r="G6" s="5" t="s">
        <v>82</v>
      </c>
      <c r="H6" s="16">
        <v>0.31</v>
      </c>
      <c r="I6" s="17">
        <f t="shared" si="0"/>
        <v>0.31</v>
      </c>
    </row>
    <row r="7" spans="1:9" x14ac:dyDescent="0.25">
      <c r="A7" s="38"/>
      <c r="B7" s="35"/>
      <c r="C7" s="36"/>
      <c r="D7" s="36"/>
      <c r="E7" s="37"/>
      <c r="F7" s="37"/>
      <c r="G7" s="5" t="s">
        <v>83</v>
      </c>
      <c r="H7" s="16">
        <v>0.31</v>
      </c>
      <c r="I7" s="17">
        <f t="shared" si="0"/>
        <v>0.31</v>
      </c>
    </row>
    <row r="8" spans="1:9" x14ac:dyDescent="0.25">
      <c r="A8" s="38"/>
      <c r="B8" s="35"/>
      <c r="C8" s="36"/>
      <c r="D8" s="36"/>
      <c r="E8" s="37"/>
      <c r="F8" s="37"/>
      <c r="G8" s="5" t="s">
        <v>84</v>
      </c>
      <c r="H8" s="16">
        <v>1.01</v>
      </c>
      <c r="I8" s="17">
        <f t="shared" si="0"/>
        <v>1.01</v>
      </c>
    </row>
    <row r="9" spans="1:9" x14ac:dyDescent="0.25">
      <c r="A9" s="38"/>
      <c r="B9" s="35"/>
      <c r="C9" s="36"/>
      <c r="D9" s="36"/>
      <c r="E9" s="37"/>
      <c r="F9" s="37"/>
      <c r="G9" s="5" t="s">
        <v>85</v>
      </c>
      <c r="H9" s="16">
        <v>21.12</v>
      </c>
      <c r="I9" s="17" t="str">
        <f t="shared" si="0"/>
        <v>Descartado</v>
      </c>
    </row>
    <row r="10" spans="1:9" x14ac:dyDescent="0.25">
      <c r="A10" s="38"/>
      <c r="B10" s="35"/>
      <c r="C10" s="36"/>
      <c r="D10" s="36"/>
      <c r="E10" s="37"/>
      <c r="F10" s="37"/>
      <c r="G10" s="5" t="s">
        <v>86</v>
      </c>
      <c r="H10" s="16">
        <v>1.06</v>
      </c>
      <c r="I10" s="17">
        <f t="shared" si="0"/>
        <v>1.06</v>
      </c>
    </row>
    <row r="11" spans="1:9" x14ac:dyDescent="0.25">
      <c r="A11" s="38"/>
      <c r="B11" s="35"/>
      <c r="C11" s="36"/>
      <c r="D11" s="36"/>
      <c r="E11" s="37"/>
      <c r="F11" s="37"/>
      <c r="G11" s="5" t="s">
        <v>87</v>
      </c>
      <c r="H11" s="16">
        <v>1</v>
      </c>
      <c r="I11" s="17">
        <f t="shared" si="0"/>
        <v>1</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6.8378318526009725</v>
      </c>
      <c r="B20" s="8">
        <f>COUNT(H3:H17)</f>
        <v>9</v>
      </c>
      <c r="C20" s="9">
        <f>IF(B20&lt;2,"n/a",(A20/D20))</f>
        <v>2.3497703960828082</v>
      </c>
      <c r="D20" s="10">
        <f>IFERROR(ROUND(AVERAGE(H3:H17),2),"")</f>
        <v>2.91</v>
      </c>
      <c r="E20" s="15">
        <f>IFERROR(ROUND(IF(B20&lt;2,"n/a",(IF(C20&lt;=25%,"n/a",AVERAGE(I3:I17)))),2),"n/a")</f>
        <v>0.64</v>
      </c>
      <c r="F20" s="10">
        <f>IFERROR(ROUND(MEDIAN(H3:H17),2),"")</f>
        <v>0.93</v>
      </c>
      <c r="G20" s="11" t="str">
        <f>IFERROR(INDEX(G3:G17,MATCH(H20,H3:H17,0)),"")</f>
        <v>EGBA - EMPRESA GRÁFICA DA BAHIA</v>
      </c>
      <c r="H20" s="12">
        <f>F3</f>
        <v>0.16</v>
      </c>
    </row>
    <row r="22" spans="1:9" x14ac:dyDescent="0.25">
      <c r="G22" s="13" t="s">
        <v>20</v>
      </c>
      <c r="H22" s="14">
        <f>IF(C20&lt;=25%,D20,MIN(E20:F20))</f>
        <v>0.64</v>
      </c>
    </row>
    <row r="23" spans="1:9" x14ac:dyDescent="0.25">
      <c r="G23" s="13" t="s">
        <v>6</v>
      </c>
      <c r="H23" s="14">
        <f>ROUND(H22,2)*D3</f>
        <v>16000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111</v>
      </c>
      <c r="C3" s="36" t="s">
        <v>56</v>
      </c>
      <c r="D3" s="36">
        <v>60</v>
      </c>
      <c r="E3" s="37">
        <f>IF(C20&lt;=25%,D20,MIN(E20:F20))</f>
        <v>386.36</v>
      </c>
      <c r="F3" s="37">
        <f>MIN(H3:H17)</f>
        <v>170</v>
      </c>
      <c r="G3" s="5" t="s">
        <v>88</v>
      </c>
      <c r="H3" s="16">
        <f>(0.25*1000)</f>
        <v>250</v>
      </c>
      <c r="I3" s="17">
        <f>IF(H3="","",(IF($C$20&lt;25%,"n/a",IF(H3&lt;=($D$20+$A$20),H3,"Descartado"))))</f>
        <v>250</v>
      </c>
    </row>
    <row r="4" spans="1:9" x14ac:dyDescent="0.25">
      <c r="A4" s="38"/>
      <c r="B4" s="35"/>
      <c r="C4" s="36"/>
      <c r="D4" s="36"/>
      <c r="E4" s="37"/>
      <c r="F4" s="37"/>
      <c r="G4" s="5" t="s">
        <v>89</v>
      </c>
      <c r="H4" s="16">
        <f>(0.41*1000)</f>
        <v>410</v>
      </c>
      <c r="I4" s="17">
        <f t="shared" ref="I4:I17" si="0">IF(H4="","",(IF($C$20&lt;25%,"n/a",IF(H4&lt;=($D$20+$A$20),H4,"Descartado"))))</f>
        <v>410</v>
      </c>
    </row>
    <row r="5" spans="1:9" x14ac:dyDescent="0.25">
      <c r="A5" s="38"/>
      <c r="B5" s="35"/>
      <c r="C5" s="36"/>
      <c r="D5" s="36"/>
      <c r="E5" s="37"/>
      <c r="F5" s="37"/>
      <c r="G5" s="5" t="s">
        <v>90</v>
      </c>
      <c r="H5" s="16">
        <f>(0.7*1000)</f>
        <v>700</v>
      </c>
      <c r="I5" s="17">
        <f t="shared" si="0"/>
        <v>700</v>
      </c>
    </row>
    <row r="6" spans="1:9" x14ac:dyDescent="0.25">
      <c r="A6" s="38"/>
      <c r="B6" s="35"/>
      <c r="C6" s="36"/>
      <c r="D6" s="36"/>
      <c r="E6" s="37"/>
      <c r="F6" s="37"/>
      <c r="G6" s="5" t="s">
        <v>91</v>
      </c>
      <c r="H6" s="16">
        <f>(1.32*1000)</f>
        <v>1320</v>
      </c>
      <c r="I6" s="17" t="str">
        <f t="shared" si="0"/>
        <v>Descartado</v>
      </c>
    </row>
    <row r="7" spans="1:9" x14ac:dyDescent="0.25">
      <c r="A7" s="38"/>
      <c r="B7" s="35"/>
      <c r="C7" s="36"/>
      <c r="D7" s="36"/>
      <c r="E7" s="37"/>
      <c r="F7" s="37"/>
      <c r="G7" s="5" t="s">
        <v>92</v>
      </c>
      <c r="H7" s="16">
        <f>(1.39*1000)</f>
        <v>1390</v>
      </c>
      <c r="I7" s="17" t="str">
        <f t="shared" si="0"/>
        <v>Descartado</v>
      </c>
    </row>
    <row r="8" spans="1:9" x14ac:dyDescent="0.25">
      <c r="A8" s="38"/>
      <c r="B8" s="35"/>
      <c r="C8" s="36"/>
      <c r="D8" s="36"/>
      <c r="E8" s="37"/>
      <c r="F8" s="37"/>
      <c r="G8" s="5" t="s">
        <v>93</v>
      </c>
      <c r="H8" s="16">
        <f>(1.5*1000)</f>
        <v>1500</v>
      </c>
      <c r="I8" s="17" t="str">
        <f t="shared" si="0"/>
        <v>Descartado</v>
      </c>
    </row>
    <row r="9" spans="1:9" x14ac:dyDescent="0.25">
      <c r="A9" s="38"/>
      <c r="B9" s="35"/>
      <c r="C9" s="36"/>
      <c r="D9" s="36"/>
      <c r="E9" s="37"/>
      <c r="F9" s="37"/>
      <c r="G9" s="5" t="s">
        <v>73</v>
      </c>
      <c r="H9" s="16">
        <f>(2*1000)</f>
        <v>2000</v>
      </c>
      <c r="I9" s="17" t="str">
        <f t="shared" si="0"/>
        <v>Descartado</v>
      </c>
    </row>
    <row r="10" spans="1:9" x14ac:dyDescent="0.25">
      <c r="A10" s="38"/>
      <c r="B10" s="35"/>
      <c r="C10" s="36"/>
      <c r="D10" s="36"/>
      <c r="E10" s="37"/>
      <c r="F10" s="37"/>
      <c r="G10" s="5" t="s">
        <v>63</v>
      </c>
      <c r="H10" s="16">
        <v>380</v>
      </c>
      <c r="I10" s="17">
        <f t="shared" si="0"/>
        <v>380</v>
      </c>
    </row>
    <row r="11" spans="1:9" x14ac:dyDescent="0.25">
      <c r="A11" s="38"/>
      <c r="B11" s="35"/>
      <c r="C11" s="36"/>
      <c r="D11" s="36"/>
      <c r="E11" s="37"/>
      <c r="F11" s="37"/>
      <c r="G11" s="5" t="s">
        <v>64</v>
      </c>
      <c r="H11" s="16">
        <v>960</v>
      </c>
      <c r="I11" s="17">
        <f t="shared" si="0"/>
        <v>960</v>
      </c>
    </row>
    <row r="12" spans="1:9" x14ac:dyDescent="0.25">
      <c r="A12" s="38"/>
      <c r="B12" s="35"/>
      <c r="C12" s="36"/>
      <c r="D12" s="36"/>
      <c r="E12" s="37"/>
      <c r="F12" s="37"/>
      <c r="G12" s="5" t="s">
        <v>75</v>
      </c>
      <c r="H12" s="16">
        <f>(0.17*1000)</f>
        <v>170</v>
      </c>
      <c r="I12" s="17">
        <f t="shared" si="0"/>
        <v>170</v>
      </c>
    </row>
    <row r="13" spans="1:9" x14ac:dyDescent="0.25">
      <c r="A13" s="38"/>
      <c r="B13" s="35"/>
      <c r="C13" s="36"/>
      <c r="D13" s="36"/>
      <c r="E13" s="37"/>
      <c r="F13" s="37"/>
      <c r="G13" s="5" t="s">
        <v>69</v>
      </c>
      <c r="H13" s="16">
        <f>(0.18*1000)</f>
        <v>180</v>
      </c>
      <c r="I13" s="17">
        <f t="shared" si="0"/>
        <v>180</v>
      </c>
    </row>
    <row r="14" spans="1:9" x14ac:dyDescent="0.25">
      <c r="A14" s="38"/>
      <c r="B14" s="35"/>
      <c r="C14" s="36"/>
      <c r="D14" s="36"/>
      <c r="E14" s="37"/>
      <c r="F14" s="37"/>
      <c r="G14" s="5" t="s">
        <v>70</v>
      </c>
      <c r="H14" s="16">
        <f>(0.22*1000)</f>
        <v>220</v>
      </c>
      <c r="I14" s="17">
        <f t="shared" si="0"/>
        <v>220</v>
      </c>
    </row>
    <row r="15" spans="1:9" x14ac:dyDescent="0.25">
      <c r="A15" s="38"/>
      <c r="B15" s="35"/>
      <c r="C15" s="36"/>
      <c r="D15" s="36"/>
      <c r="E15" s="37"/>
      <c r="F15" s="37"/>
      <c r="G15" s="5" t="s">
        <v>71</v>
      </c>
      <c r="H15" s="16">
        <f>(0.23*1000)</f>
        <v>230</v>
      </c>
      <c r="I15" s="17">
        <f t="shared" si="0"/>
        <v>230</v>
      </c>
    </row>
    <row r="16" spans="1:9" x14ac:dyDescent="0.25">
      <c r="A16" s="38"/>
      <c r="B16" s="35"/>
      <c r="C16" s="36"/>
      <c r="D16" s="36"/>
      <c r="E16" s="37"/>
      <c r="F16" s="37"/>
      <c r="G16" s="5" t="s">
        <v>72</v>
      </c>
      <c r="H16" s="16">
        <f>(0.3*1000)</f>
        <v>300</v>
      </c>
      <c r="I16" s="17">
        <f t="shared" si="0"/>
        <v>300</v>
      </c>
    </row>
    <row r="17" spans="1:9" x14ac:dyDescent="0.25">
      <c r="A17" s="38"/>
      <c r="B17" s="35"/>
      <c r="C17" s="36"/>
      <c r="D17" s="36"/>
      <c r="E17" s="37"/>
      <c r="F17" s="37"/>
      <c r="G17" s="5" t="s">
        <v>74</v>
      </c>
      <c r="H17" s="16">
        <f>(0.45*1000)</f>
        <v>450</v>
      </c>
      <c r="I17" s="17">
        <f t="shared" si="0"/>
        <v>450</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589.92089865224023</v>
      </c>
      <c r="B20" s="8">
        <f>COUNT(H3:H17)</f>
        <v>15</v>
      </c>
      <c r="C20" s="9">
        <f>IF(B20&lt;2,"n/a",(A20/D20))</f>
        <v>0.84597091571026661</v>
      </c>
      <c r="D20" s="10">
        <f>IFERROR(ROUND(AVERAGE(H3:H17),2),"")</f>
        <v>697.33</v>
      </c>
      <c r="E20" s="15">
        <f>IFERROR(ROUND(IF(B20&lt;2,"n/a",(IF(C20&lt;=25%,"n/a",AVERAGE(I3:I17)))),2),"n/a")</f>
        <v>386.36</v>
      </c>
      <c r="F20" s="10">
        <f>IFERROR(ROUND(MEDIAN(H3:H17),2),"")</f>
        <v>410</v>
      </c>
      <c r="G20" s="11" t="str">
        <f>IFERROR(INDEX(G3:G17,MATCH(H20,H3:H17,0)),"")</f>
        <v>S. L. DE CASTRO LTDA</v>
      </c>
      <c r="H20" s="12">
        <f>F3</f>
        <v>170</v>
      </c>
    </row>
    <row r="22" spans="1:9" x14ac:dyDescent="0.25">
      <c r="G22" s="13" t="s">
        <v>20</v>
      </c>
      <c r="H22" s="14">
        <f>IF(C20&lt;=25%,D20,MIN(E20:F20))</f>
        <v>386.36</v>
      </c>
    </row>
    <row r="23" spans="1:9" x14ac:dyDescent="0.25">
      <c r="G23" s="13" t="s">
        <v>6</v>
      </c>
      <c r="H23" s="14">
        <f>ROUND(H22,2)*D3</f>
        <v>23181.600000000002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2024-01-17T18:55:53Z</cp:lastPrinted>
  <dcterms:created xsi:type="dcterms:W3CDTF">2023-11-07T17:10:34Z</dcterms:created>
  <dcterms:modified xsi:type="dcterms:W3CDTF">2024-02-27T20:56:30Z</dcterms:modified>
</cp:coreProperties>
</file>